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5360" windowHeight="8295" firstSheet="2" activeTab="2"/>
  </bookViews>
  <sheets>
    <sheet name="senseInfo" sheetId="1" state="hidden" r:id="rId1"/>
    <sheet name="PalisadeFitLinks" sheetId="2" state="hidden" r:id="rId2"/>
    <sheet name="Input paramaters &amp; Outputs" sheetId="3" r:id="rId3"/>
    <sheet name="Cross-contamination model" sheetId="4" r:id="rId4"/>
  </sheets>
  <definedNames>
    <definedName name="A_h">'Cross-contamination model'!#REF!</definedName>
    <definedName name="C_A_G">'Cross-contamination model'!#REF!</definedName>
    <definedName name="C_FCS_FP">'Input paramaters &amp; Outputs'!$G$25</definedName>
    <definedName name="C_FCS_G">'Input paramaters &amp; Outputs'!$G$22</definedName>
    <definedName name="C_FP_FCS">'Input paramaters &amp; Outputs'!$G$24</definedName>
    <definedName name="C_FP_FP">'Input paramaters &amp; Outputs'!$G$28</definedName>
    <definedName name="C_FP_G">'Input paramaters &amp; Outputs'!$G$27</definedName>
    <definedName name="C_FP_GE">'Cross-contamination model'!#REF!</definedName>
    <definedName name="C_G_A">'Cross-contamination model'!#REF!</definedName>
    <definedName name="C_G_E">'Input paramaters &amp; Outputs'!$G$29</definedName>
    <definedName name="C_G_FCS">'Input paramaters &amp; Outputs'!$G$23</definedName>
    <definedName name="C_G_FP">'Input paramaters &amp; Outputs'!$G$26</definedName>
    <definedName name="C_G_GE">'Cross-contamination model'!#REF!</definedName>
    <definedName name="C_GE_G">'Cross-contamination model'!#REF!</definedName>
    <definedName name="C_GE_x">'Cross-contamination model'!#REF!</definedName>
    <definedName name="contE">'Input paramaters &amp; Outputs'!#REF!</definedName>
    <definedName name="d">'Input paramaters &amp; Outputs'!$I$111</definedName>
    <definedName name="FCS_h">'Input paramaters &amp; Outputs'!#REF!</definedName>
    <definedName name="G_h">'Input paramaters &amp; Outputs'!$G$78</definedName>
    <definedName name="kFCS">'Cross-contamination model'!#REF!</definedName>
    <definedName name="kFP">'Cross-contamination model'!#REF!</definedName>
    <definedName name="kG">'Cross-contamination model'!#REF!</definedName>
    <definedName name="lm_FCSi">'Cross-contamination model'!#REF!</definedName>
    <definedName name="lm_FPi">'Cross-contamination model'!#REF!</definedName>
    <definedName name="lm_Gi">'Cross-contamination model'!#REF!</definedName>
    <definedName name="nA">'Cross-contamination model'!#REF!</definedName>
    <definedName name="nE">'Input paramaters &amp; Outputs'!$G$16</definedName>
    <definedName name="nFCS">'Input paramaters &amp; Outputs'!$G$14</definedName>
    <definedName name="nFP">'Input paramaters &amp; Outputs'!$G$15</definedName>
    <definedName name="nG">'Input paramaters &amp; Outputs'!$G$13</definedName>
    <definedName name="nGE">'Cross-contamination model'!#REF!</definedName>
    <definedName name="OLE_LINK1" localSheetId="2">'Input paramaters &amp; Outputs'!#REF!</definedName>
    <definedName name="p_A_G">'Cross-contamination model'!#REF!</definedName>
    <definedName name="p_FCS_FP">'Input paramaters &amp; Outputs'!$G$42</definedName>
    <definedName name="p_FCS_G">'Input paramaters &amp; Outputs'!$G$39</definedName>
    <definedName name="p_FP_FCS">'Input paramaters &amp; Outputs'!$G$41</definedName>
    <definedName name="p_FP_FP">'Input paramaters &amp; Outputs'!$G$45</definedName>
    <definedName name="p_FP_G">'Input paramaters &amp; Outputs'!$G$44</definedName>
    <definedName name="p_FP_GE">'Cross-contamination model'!#REF!</definedName>
    <definedName name="p_G_A">'Cross-contamination model'!#REF!</definedName>
    <definedName name="p_G_E">'Input paramaters &amp; Outputs'!$G$46</definedName>
    <definedName name="p_G_FCS">'Input paramaters &amp; Outputs'!$G$40</definedName>
    <definedName name="p_G_FP">'Input paramaters &amp; Outputs'!$G$43</definedName>
    <definedName name="p_G_GE">'Cross-contamination model'!#REF!</definedName>
    <definedName name="p_GE_G">'Cross-contamination model'!#REF!</definedName>
    <definedName name="p_GE_x">'Cross-contamination model'!#REF!</definedName>
    <definedName name="pA">'Input paramaters &amp; Outputs'!#REF!</definedName>
    <definedName name="pE">'Input paramaters &amp; Outputs'!$G$70</definedName>
    <definedName name="pFCS">'Input paramaters &amp; Outputs'!$G$49</definedName>
    <definedName name="pFP">'Input paramaters &amp; Outputs'!$G$68</definedName>
    <definedName name="pG">'Input paramaters &amp; Outputs'!$G$82</definedName>
    <definedName name="pGE">'Input paramaters &amp; Outputs'!$G$78</definedName>
    <definedName name="pr">'Input paramaters &amp; Outputs'!$G$80</definedName>
    <definedName name="resd">'Input paramaters &amp; Outputs'!$G$52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TRUE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1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TRUE</definedName>
    <definedName name="RiskNumIterations">1000</definedName>
    <definedName name="RiskNumSimulations">1</definedName>
    <definedName name="RiskPauseOnError">TRUE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  <definedName name="tr">'Cross-contamination model'!#REF!</definedName>
  </definedNames>
  <calcPr fullCalcOnLoad="1"/>
</workbook>
</file>

<file path=xl/sharedStrings.xml><?xml version="1.0" encoding="utf-8"?>
<sst xmlns="http://schemas.openxmlformats.org/spreadsheetml/2006/main" count="524" uniqueCount="263">
  <si>
    <t>most likely</t>
  </si>
  <si>
    <t>C(FCS_G)</t>
  </si>
  <si>
    <t>p(FCS_G)</t>
  </si>
  <si>
    <t>C(G_FCS)</t>
  </si>
  <si>
    <t>p(G_FCS)</t>
  </si>
  <si>
    <t>C(FP_FCS)</t>
  </si>
  <si>
    <t>p(FP_FCS)</t>
  </si>
  <si>
    <t>C(FCS_FP)</t>
  </si>
  <si>
    <t>p(FCS_FP)</t>
  </si>
  <si>
    <t>C(G_FP)</t>
  </si>
  <si>
    <t>p(G_FP)</t>
  </si>
  <si>
    <t>C(FP_G)</t>
  </si>
  <si>
    <t>p(FP_G)</t>
  </si>
  <si>
    <t>C(FP_FP)</t>
  </si>
  <si>
    <t>p(FP_FP)</t>
  </si>
  <si>
    <t>Number of gloves</t>
  </si>
  <si>
    <t>nG</t>
  </si>
  <si>
    <t>nFCS</t>
  </si>
  <si>
    <t>nFP</t>
  </si>
  <si>
    <t>Prevalence of contaminated units of FCS</t>
  </si>
  <si>
    <t>pFCS</t>
  </si>
  <si>
    <t>pFP</t>
  </si>
  <si>
    <t>G_h</t>
  </si>
  <si>
    <t>resd</t>
  </si>
  <si>
    <t>pr</t>
  </si>
  <si>
    <t>t</t>
  </si>
  <si>
    <t>FCS</t>
  </si>
  <si>
    <t>FP_nc</t>
  </si>
  <si>
    <t>FP_c</t>
  </si>
  <si>
    <t>leave-NC</t>
  </si>
  <si>
    <t>leave-C</t>
  </si>
  <si>
    <t>Food products</t>
  </si>
  <si>
    <t>new(cFP)</t>
  </si>
  <si>
    <t>Rt</t>
  </si>
  <si>
    <t>FCS_nc</t>
  </si>
  <si>
    <t>FCS_c</t>
  </si>
  <si>
    <t>Food contact surfaces</t>
  </si>
  <si>
    <t>new(cFCS)</t>
  </si>
  <si>
    <t>G_nc</t>
  </si>
  <si>
    <t>G_c</t>
  </si>
  <si>
    <t>Gloves</t>
  </si>
  <si>
    <t>new(cG)</t>
  </si>
  <si>
    <t>C(G_E)</t>
  </si>
  <si>
    <t>p(G_E)</t>
  </si>
  <si>
    <t xml:space="preserve">senseTotal: </t>
  </si>
  <si>
    <t>.</t>
  </si>
  <si>
    <t>selectionIndex</t>
  </si>
  <si>
    <t>formulaIndex</t>
  </si>
  <si>
    <t>cellAddress</t>
  </si>
  <si>
    <t>rangeAddress</t>
  </si>
  <si>
    <t>bookName</t>
  </si>
  <si>
    <t>sheetName</t>
  </si>
  <si>
    <t>ioIndex</t>
  </si>
  <si>
    <t>checkSelected</t>
  </si>
  <si>
    <t>baseValue</t>
  </si>
  <si>
    <t>useCellBase</t>
  </si>
  <si>
    <t>minPercent</t>
  </si>
  <si>
    <t>maxPercent</t>
  </si>
  <si>
    <t>minValue</t>
  </si>
  <si>
    <t>maxValue</t>
  </si>
  <si>
    <t>numIntervals</t>
  </si>
  <si>
    <t>intIndex</t>
  </si>
  <si>
    <t>varyWhenStepping</t>
  </si>
  <si>
    <t>intervalMode</t>
  </si>
  <si>
    <t>tableRange</t>
  </si>
  <si>
    <t>analysisString</t>
  </si>
  <si>
    <t>isInput</t>
  </si>
  <si>
    <t>groupIndex</t>
  </si>
  <si>
    <t>groupCount</t>
  </si>
  <si>
    <t>$F$2</t>
  </si>
  <si>
    <t>Sheet1</t>
  </si>
  <si>
    <t>C(FCS_G) / min</t>
  </si>
  <si>
    <t>-50%</t>
  </si>
  <si>
    <t/>
  </si>
  <si>
    <t>-0.5</t>
  </si>
  <si>
    <t>14.9499998092651</t>
  </si>
  <si>
    <t>Base -50.00%</t>
  </si>
  <si>
    <t>50%</t>
  </si>
  <si>
    <t>Base + Percent: -50.00% to 50.00%</t>
  </si>
  <si>
    <t>-0.25</t>
  </si>
  <si>
    <t>0</t>
  </si>
  <si>
    <t>0.25</t>
  </si>
  <si>
    <t>0.5</t>
  </si>
  <si>
    <t>$F$3</t>
  </si>
  <si>
    <t>C(G_FCS) / min</t>
  </si>
  <si>
    <t>-50.00%</t>
  </si>
  <si>
    <t>Base -25.00%</t>
  </si>
  <si>
    <t>Base +0.00%</t>
  </si>
  <si>
    <t>Base +25.00%</t>
  </si>
  <si>
    <t>Base +50.00%</t>
  </si>
  <si>
    <t>$F$4</t>
  </si>
  <si>
    <t>C(FP_FCS) / min</t>
  </si>
  <si>
    <t>22.3</t>
  </si>
  <si>
    <t>11.1499996185303</t>
  </si>
  <si>
    <t>16.7249994277954</t>
  </si>
  <si>
    <t>22.2999992370605</t>
  </si>
  <si>
    <t>27.8749990463257</t>
  </si>
  <si>
    <t>33.4499988555908</t>
  </si>
  <si>
    <t>$F$6</t>
  </si>
  <si>
    <t>C(G_FP) / min</t>
  </si>
  <si>
    <t>$F$5</t>
  </si>
  <si>
    <t>C(FCS_FP) / min</t>
  </si>
  <si>
    <t>$F$7</t>
  </si>
  <si>
    <t>C(FP_G) / min</t>
  </si>
  <si>
    <t>4</t>
  </si>
  <si>
    <t>2</t>
  </si>
  <si>
    <t>3</t>
  </si>
  <si>
    <t>5</t>
  </si>
  <si>
    <t>6</t>
  </si>
  <si>
    <t>$F$8</t>
  </si>
  <si>
    <t>C(FP_FP) / min</t>
  </si>
  <si>
    <t>1.6</t>
  </si>
  <si>
    <t>0.800000011920929</t>
  </si>
  <si>
    <t>1.20000001788139</t>
  </si>
  <si>
    <t>1.60000002384186</t>
  </si>
  <si>
    <t>2.00000002980232</t>
  </si>
  <si>
    <t>2.40000003576279</t>
  </si>
  <si>
    <t>nE</t>
  </si>
  <si>
    <t>Prevalence of contaminated E</t>
  </si>
  <si>
    <t>pE</t>
  </si>
  <si>
    <t>Num Links</t>
  </si>
  <si>
    <t>$H$18</t>
  </si>
  <si>
    <t>pFP / max</t>
  </si>
  <si>
    <t>=RiskOutput("pFP raw") + IF(K18=0,L18,RiskBeta(F18,G18))</t>
  </si>
  <si>
    <t>4.79452051222324E-02</t>
  </si>
  <si>
    <t>7.19178076833487E-02</t>
  </si>
  <si>
    <t>9.58904102444649E-02</t>
  </si>
  <si>
    <t>0.119863012805581</t>
  </si>
  <si>
    <t>0.143835615366697</t>
  </si>
  <si>
    <t>114.8</t>
  </si>
  <si>
    <t>78.4</t>
  </si>
  <si>
    <t>RiskBeta(F17, G17-F17, RiskCollect())</t>
  </si>
  <si>
    <t>0.106060606060606</t>
  </si>
  <si>
    <t>57.4000015258789</t>
  </si>
  <si>
    <t>86.1000022888184</t>
  </si>
  <si>
    <t>114.800003051758</t>
  </si>
  <si>
    <t>143.500003814697</t>
  </si>
  <si>
    <t>172.200004577637</t>
  </si>
  <si>
    <t>39.2000007629395</t>
  </si>
  <si>
    <t>58.8000011444092</t>
  </si>
  <si>
    <t>78.4000015258789</t>
  </si>
  <si>
    <t>98.0000019073486</t>
  </si>
  <si>
    <t>117.600002288818</t>
  </si>
  <si>
    <t>$F$9</t>
  </si>
  <si>
    <t>C(G_E) / min</t>
  </si>
  <si>
    <t>4.1</t>
  </si>
  <si>
    <t>50.00%</t>
  </si>
  <si>
    <t>2.04999995231628</t>
  </si>
  <si>
    <t>3.07499992847443</t>
  </si>
  <si>
    <t>4.09999990463257</t>
  </si>
  <si>
    <t>5.12499988079071</t>
  </si>
  <si>
    <t>6.14999985694885</t>
  </si>
  <si>
    <t>321.7</t>
  </si>
  <si>
    <t>160.850006103516</t>
  </si>
  <si>
    <t>241.275009155273</t>
  </si>
  <si>
    <t>321.700012207031</t>
  </si>
  <si>
    <t>402.125015258789</t>
  </si>
  <si>
    <t>482.550018310547</t>
  </si>
  <si>
    <t>12</t>
  </si>
  <si>
    <t>600.9</t>
  </si>
  <si>
    <t>300.450012207031</t>
  </si>
  <si>
    <t>450.675018310547</t>
  </si>
  <si>
    <t>600.900024414063</t>
  </si>
  <si>
    <t>751.125030517578</t>
  </si>
  <si>
    <t>901.350036621094</t>
  </si>
  <si>
    <t>$I$11</t>
  </si>
  <si>
    <t>=IF(K11=0,L11,F11)</t>
  </si>
  <si>
    <t>68</t>
  </si>
  <si>
    <t>34</t>
  </si>
  <si>
    <t>51</t>
  </si>
  <si>
    <t>85</t>
  </si>
  <si>
    <t>102</t>
  </si>
  <si>
    <t>$I$12</t>
  </si>
  <si>
    <t>=IF(K12=0,L12,F12)</t>
  </si>
  <si>
    <t>1224</t>
  </si>
  <si>
    <t>612</t>
  </si>
  <si>
    <t>918</t>
  </si>
  <si>
    <t>1530</t>
  </si>
  <si>
    <t>1836</t>
  </si>
  <si>
    <t>$I$13</t>
  </si>
  <si>
    <t>=IF(K13=0,L13,F13)</t>
  </si>
  <si>
    <t>76.5</t>
  </si>
  <si>
    <t>127.5</t>
  </si>
  <si>
    <t>153</t>
  </si>
  <si>
    <t>$I$25</t>
  </si>
  <si>
    <t>pr / estimate</t>
  </si>
  <si>
    <t>=IF(K25=0,L25,F25)</t>
  </si>
  <si>
    <t>10</t>
  </si>
  <si>
    <t>7.5</t>
  </si>
  <si>
    <t>12.5</t>
  </si>
  <si>
    <t>15</t>
  </si>
  <si>
    <t>Total number of</t>
  </si>
  <si>
    <t>FP</t>
  </si>
  <si>
    <t>G</t>
  </si>
  <si>
    <t>Cleaning of FCS during a shift (1=no cleaning)</t>
  </si>
  <si>
    <t>Number of units of environment</t>
  </si>
  <si>
    <t>Number of food products</t>
  </si>
  <si>
    <t>Number of units of food contact surfaces</t>
  </si>
  <si>
    <t>minimum</t>
  </si>
  <si>
    <t>maximum</t>
  </si>
  <si>
    <t>alternative</t>
  </si>
  <si>
    <t>model
estimate</t>
  </si>
  <si>
    <t>input 
value</t>
  </si>
  <si>
    <t>Frequency of contacts</t>
  </si>
  <si>
    <t xml:space="preserve">A G contacts FCSs </t>
  </si>
  <si>
    <t>A FP contacts FCSs</t>
  </si>
  <si>
    <t>A unit of FCS contacts FPs</t>
  </si>
  <si>
    <t>A unit of FCS contacts Gs</t>
  </si>
  <si>
    <t xml:space="preserve">A G contacts FPs </t>
  </si>
  <si>
    <t>A FP contacts Gs</t>
  </si>
  <si>
    <t>A FP contacts other FPs</t>
  </si>
  <si>
    <t xml:space="preserve">A G contacts E </t>
  </si>
  <si>
    <t>number positive</t>
  </si>
  <si>
    <t>total tested</t>
  </si>
  <si>
    <t>Prevalence of contamination</t>
  </si>
  <si>
    <t>Percentage of contaminated units of FCS after cleaning</t>
  </si>
  <si>
    <t xml:space="preserve">Number contaminated units of FCS at the beginning of the shift </t>
  </si>
  <si>
    <t>Prevalence of contaminated units of FCS at the beginning of the shift</t>
  </si>
  <si>
    <t>Prevalence of contaminated  raw FP</t>
  </si>
  <si>
    <t>Prevalence of contaminated FP entering slicing stage</t>
  </si>
  <si>
    <t>Number contaminated FP entering slicing stage</t>
  </si>
  <si>
    <t>number samples</t>
  </si>
  <si>
    <t>positive before smoking</t>
  </si>
  <si>
    <t>% positive before smoking</t>
  </si>
  <si>
    <t>positive after smoking</t>
  </si>
  <si>
    <t>% positive after smoking</t>
  </si>
  <si>
    <t>relative reduction</t>
  </si>
  <si>
    <t>Reduction due to smoking</t>
  </si>
  <si>
    <t>Rate of changing gloves</t>
  </si>
  <si>
    <t>Gloves changed every (minutes)</t>
  </si>
  <si>
    <t>Duration of processing (minutes)</t>
  </si>
  <si>
    <t>Processing rate</t>
  </si>
  <si>
    <t>Input Parameters</t>
  </si>
  <si>
    <t>Model estimates</t>
  </si>
  <si>
    <r>
      <t xml:space="preserve">Number of produced </t>
    </r>
    <r>
      <rPr>
        <b/>
        <sz val="10"/>
        <rFont val="Arial"/>
        <family val="2"/>
      </rPr>
      <t>non-contaminated</t>
    </r>
    <r>
      <rPr>
        <sz val="10"/>
        <rFont val="Arial"/>
        <family val="0"/>
      </rPr>
      <t xml:space="preserve"> food products</t>
    </r>
  </si>
  <si>
    <r>
      <t xml:space="preserve">Number of produced </t>
    </r>
    <r>
      <rPr>
        <b/>
        <sz val="10"/>
        <rFont val="Arial"/>
        <family val="2"/>
      </rPr>
      <t>contaminated</t>
    </r>
    <r>
      <rPr>
        <sz val="10"/>
        <rFont val="Arial"/>
        <family val="0"/>
      </rPr>
      <t xml:space="preserve"> food products</t>
    </r>
  </si>
  <si>
    <t>Total number of food products in a lot</t>
  </si>
  <si>
    <t>Probability of contact</t>
  </si>
  <si>
    <r>
      <t xml:space="preserve">Prevalence of </t>
    </r>
    <r>
      <rPr>
        <b/>
        <sz val="12"/>
        <rFont val="Arial"/>
        <family val="2"/>
      </rPr>
      <t>contaminated</t>
    </r>
    <r>
      <rPr>
        <sz val="12"/>
        <rFont val="Arial"/>
        <family val="2"/>
      </rPr>
      <t xml:space="preserve"> food products</t>
    </r>
  </si>
  <si>
    <r>
      <t xml:space="preserve">switch </t>
    </r>
    <r>
      <rPr>
        <sz val="10"/>
        <rFont val="Arial"/>
        <family val="2"/>
      </rPr>
      <t>(if 0 alternative
 value used)</t>
    </r>
  </si>
  <si>
    <t xml:space="preserve">probability of contact between FCS and G </t>
  </si>
  <si>
    <t>probability of contact between FP and FCS</t>
  </si>
  <si>
    <t>probability of contact between G and FP</t>
  </si>
  <si>
    <t>probability of contact between two FP</t>
  </si>
  <si>
    <t>probability of contact between G and E</t>
  </si>
  <si>
    <t>probability that FCSs contaminate Gs</t>
  </si>
  <si>
    <t>probability that Gs contaminate FCSs</t>
  </si>
  <si>
    <t>probability that FPs contaminate FCSs</t>
  </si>
  <si>
    <t>probability that FCSs contaminate FPs</t>
  </si>
  <si>
    <t>probability that Gs contaminate FPs</t>
  </si>
  <si>
    <t>probability that FPs contaminate Gs</t>
  </si>
  <si>
    <t>probability that FPs contaminate FPs</t>
  </si>
  <si>
    <t>probability that E contaminates Gs</t>
  </si>
  <si>
    <t>Probability of contact given total number of contacts</t>
  </si>
  <si>
    <t>Validation</t>
  </si>
  <si>
    <t xml:space="preserve">The authors do not accept responsibility or legal liability for the misuse or misapplication of the model. </t>
  </si>
  <si>
    <t>Note: Running the model requires @Risk (Palisade ©) software.</t>
  </si>
  <si>
    <r>
      <t>*</t>
    </r>
    <r>
      <rPr>
        <sz val="10"/>
        <rFont val="Times New Roman"/>
        <family val="1"/>
      </rPr>
      <t xml:space="preserve"> Author for correspondence. Tel: 607-253-3052; Fax: 607-253-3083; E-mail: ri25@cornell.edu</t>
    </r>
  </si>
  <si>
    <r>
      <t>1</t>
    </r>
    <r>
      <rPr>
        <sz val="8"/>
        <rFont val="Times New Roman"/>
        <family val="1"/>
      </rPr>
      <t>Department of Population Medicine and Diagnostic Sciences, College of Veterinary Medicine, Cornell University, Ithaca, NY 14853</t>
    </r>
  </si>
  <si>
    <r>
      <t>2</t>
    </r>
    <r>
      <rPr>
        <sz val="8"/>
        <rFont val="Times New Roman"/>
        <family val="1"/>
      </rPr>
      <t>Department of Food Science, 412 Stocking Hall, Cornell University, Ithaca, NY 14853</t>
    </r>
  </si>
  <si>
    <r>
      <t>3</t>
    </r>
    <r>
      <rPr>
        <sz val="8"/>
        <rFont val="Times New Roman"/>
        <family val="1"/>
      </rPr>
      <t>Departments of Biometrics and ILR Social Statistics, 301 Malott Hall, Cornell University, Ithaca, NY 14853</t>
    </r>
  </si>
  <si>
    <r>
      <t>Renata Ivanek</t>
    </r>
    <r>
      <rPr>
        <i/>
        <vertAlign val="superscript"/>
        <sz val="10"/>
        <rFont val="Times New Roman"/>
        <family val="1"/>
      </rPr>
      <t>1*</t>
    </r>
    <r>
      <rPr>
        <i/>
        <sz val="10"/>
        <rFont val="Times New Roman"/>
        <family val="1"/>
      </rPr>
      <t>, Yrjö T. Gröhn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, Martin Wiedmann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, and Martin T. Wells</t>
    </r>
    <r>
      <rPr>
        <i/>
        <vertAlign val="superscript"/>
        <sz val="10"/>
        <rFont val="Times New Roman"/>
        <family val="1"/>
      </rPr>
      <t>3</t>
    </r>
  </si>
  <si>
    <r>
      <t xml:space="preserve">Mathematical model of </t>
    </r>
    <r>
      <rPr>
        <b/>
        <i/>
        <sz val="14"/>
        <rFont val="Times New Roman"/>
        <family val="1"/>
      </rPr>
      <t>Listeria monocytogenes</t>
    </r>
    <r>
      <rPr>
        <b/>
        <sz val="14"/>
        <rFont val="Times New Roman"/>
        <family val="1"/>
      </rPr>
      <t xml:space="preserve"> cross-contamination in a fish processing plant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</si>
</sst>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.7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i/>
      <vertAlign val="superscript"/>
      <sz val="10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165" fontId="0" fillId="6" borderId="5" xfId="0" applyNumberFormat="1" applyFill="1" applyBorder="1" applyAlignment="1">
      <alignment/>
    </xf>
    <xf numFmtId="165" fontId="0" fillId="6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7" borderId="7" xfId="0" applyFill="1" applyBorder="1" applyAlignment="1">
      <alignment/>
    </xf>
    <xf numFmtId="165" fontId="0" fillId="8" borderId="7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/>
    </xf>
    <xf numFmtId="0" fontId="0" fillId="7" borderId="0" xfId="0" applyFill="1" applyBorder="1" applyAlignment="1">
      <alignment/>
    </xf>
    <xf numFmtId="165" fontId="0" fillId="8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/>
    </xf>
    <xf numFmtId="165" fontId="0" fillId="7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165" fontId="0" fillId="7" borderId="12" xfId="0" applyNumberForma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0" fillId="8" borderId="0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7" borderId="12" xfId="0" applyFill="1" applyBorder="1" applyAlignment="1">
      <alignment/>
    </xf>
    <xf numFmtId="0" fontId="0" fillId="8" borderId="12" xfId="0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167" fontId="0" fillId="8" borderId="0" xfId="0" applyNumberFormat="1" applyFill="1" applyBorder="1" applyAlignment="1">
      <alignment/>
    </xf>
    <xf numFmtId="166" fontId="4" fillId="2" borderId="10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ill="1" applyBorder="1" applyAlignment="1">
      <alignment horizontal="right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8" borderId="0" xfId="0" applyNumberFormat="1" applyFont="1" applyFill="1" applyBorder="1" applyAlignment="1">
      <alignment/>
    </xf>
    <xf numFmtId="164" fontId="0" fillId="8" borderId="7" xfId="0" applyNumberFormat="1" applyFill="1" applyBorder="1" applyAlignment="1">
      <alignment/>
    </xf>
    <xf numFmtId="167" fontId="0" fillId="8" borderId="7" xfId="0" applyNumberForma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8" borderId="7" xfId="0" applyFont="1" applyFill="1" applyBorder="1" applyAlignment="1">
      <alignment/>
    </xf>
    <xf numFmtId="166" fontId="4" fillId="2" borderId="8" xfId="0" applyNumberFormat="1" applyFont="1" applyFill="1" applyBorder="1" applyAlignment="1">
      <alignment/>
    </xf>
    <xf numFmtId="0" fontId="0" fillId="8" borderId="7" xfId="0" applyFill="1" applyBorder="1" applyAlignment="1">
      <alignment/>
    </xf>
    <xf numFmtId="0" fontId="0" fillId="0" borderId="12" xfId="0" applyFill="1" applyBorder="1" applyAlignment="1">
      <alignment/>
    </xf>
    <xf numFmtId="166" fontId="0" fillId="8" borderId="12" xfId="0" applyNumberFormat="1" applyFill="1" applyBorder="1" applyAlignment="1">
      <alignment/>
    </xf>
    <xf numFmtId="2" fontId="0" fillId="8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4" xfId="0" applyFont="1" applyBorder="1" applyAlignment="1">
      <alignment/>
    </xf>
    <xf numFmtId="0" fontId="3" fillId="0" borderId="7" xfId="0" applyFont="1" applyBorder="1" applyAlignment="1">
      <alignment/>
    </xf>
    <xf numFmtId="166" fontId="0" fillId="8" borderId="7" xfId="0" applyNumberFormat="1" applyFont="1" applyFill="1" applyBorder="1" applyAlignment="1">
      <alignment/>
    </xf>
    <xf numFmtId="0" fontId="0" fillId="0" borderId="8" xfId="0" applyBorder="1" applyAlignment="1">
      <alignment/>
    </xf>
    <xf numFmtId="1" fontId="0" fillId="7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1" fontId="0" fillId="7" borderId="12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2" fillId="9" borderId="16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0" fillId="7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9625"/>
          <c:w val="0.965"/>
          <c:h val="0.84025"/>
        </c:manualLayout>
      </c:layout>
      <c:scatterChart>
        <c:scatterStyle val="line"/>
        <c:varyColors val="0"/>
        <c:ser>
          <c:idx val="0"/>
          <c:order val="0"/>
          <c:tx>
            <c:strRef>
              <c:f>'Cross-contamination model'!$G$3</c:f>
              <c:strCache>
                <c:ptCount val="1"/>
                <c:pt idx="0">
                  <c:v>Food products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'Cross-contamination model'!$B$4:$B$424</c:f>
              <c:numCache>
                <c:ptCount val="4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</c:numCache>
            </c:numRef>
          </c:xVal>
          <c:yVal>
            <c:numRef>
              <c:f>'Cross-contamination model'!$G$4:$G$424</c:f>
              <c:numCache>
                <c:ptCount val="420"/>
                <c:pt idx="0">
                  <c:v>0.013574660633484163</c:v>
                </c:pt>
                <c:pt idx="1">
                  <c:v>0.013574660633484163</c:v>
                </c:pt>
                <c:pt idx="2">
                  <c:v>0.013574660633484163</c:v>
                </c:pt>
                <c:pt idx="3">
                  <c:v>0.013574660633484163</c:v>
                </c:pt>
                <c:pt idx="4">
                  <c:v>0.013574660633484163</c:v>
                </c:pt>
                <c:pt idx="5">
                  <c:v>0.013574660633484163</c:v>
                </c:pt>
                <c:pt idx="6">
                  <c:v>0.013574660633484163</c:v>
                </c:pt>
                <c:pt idx="7">
                  <c:v>0.013574660633484163</c:v>
                </c:pt>
                <c:pt idx="8">
                  <c:v>0.013574660633484163</c:v>
                </c:pt>
                <c:pt idx="9">
                  <c:v>0.013574660633484163</c:v>
                </c:pt>
                <c:pt idx="10">
                  <c:v>0.013574660633484163</c:v>
                </c:pt>
                <c:pt idx="11">
                  <c:v>0.013574660633484163</c:v>
                </c:pt>
                <c:pt idx="12">
                  <c:v>0.013574660633484163</c:v>
                </c:pt>
                <c:pt idx="13">
                  <c:v>0.013574660633484163</c:v>
                </c:pt>
                <c:pt idx="14">
                  <c:v>0.013574660633484163</c:v>
                </c:pt>
                <c:pt idx="15">
                  <c:v>0.013574660633484163</c:v>
                </c:pt>
                <c:pt idx="16">
                  <c:v>0.013574660633484163</c:v>
                </c:pt>
                <c:pt idx="17">
                  <c:v>0.013574660633484163</c:v>
                </c:pt>
                <c:pt idx="18">
                  <c:v>0.013574660633484163</c:v>
                </c:pt>
                <c:pt idx="19">
                  <c:v>0.013574660633484163</c:v>
                </c:pt>
                <c:pt idx="20">
                  <c:v>0.013574660633484163</c:v>
                </c:pt>
                <c:pt idx="21">
                  <c:v>0.013574660633484163</c:v>
                </c:pt>
                <c:pt idx="22">
                  <c:v>0.013574660633484163</c:v>
                </c:pt>
                <c:pt idx="23">
                  <c:v>0.013574660633484163</c:v>
                </c:pt>
                <c:pt idx="24">
                  <c:v>0.013574660633484163</c:v>
                </c:pt>
                <c:pt idx="25">
                  <c:v>0.013574660633484163</c:v>
                </c:pt>
                <c:pt idx="26">
                  <c:v>0.013574660633484163</c:v>
                </c:pt>
                <c:pt idx="27">
                  <c:v>0.013574660633484163</c:v>
                </c:pt>
                <c:pt idx="28">
                  <c:v>0.013574660633484163</c:v>
                </c:pt>
                <c:pt idx="29">
                  <c:v>0.013574660633484163</c:v>
                </c:pt>
                <c:pt idx="30">
                  <c:v>0.013574660633484163</c:v>
                </c:pt>
                <c:pt idx="31">
                  <c:v>0.013574660633484163</c:v>
                </c:pt>
                <c:pt idx="32">
                  <c:v>0.013574660633484163</c:v>
                </c:pt>
                <c:pt idx="33">
                  <c:v>0.013574660633484163</c:v>
                </c:pt>
                <c:pt idx="34">
                  <c:v>0.013574660633484163</c:v>
                </c:pt>
                <c:pt idx="35">
                  <c:v>0.013574660633484163</c:v>
                </c:pt>
                <c:pt idx="36">
                  <c:v>0.013574660633484163</c:v>
                </c:pt>
                <c:pt idx="37">
                  <c:v>0.013574660633484163</c:v>
                </c:pt>
                <c:pt idx="38">
                  <c:v>0.013574660633484163</c:v>
                </c:pt>
                <c:pt idx="39">
                  <c:v>0.013574660633484163</c:v>
                </c:pt>
                <c:pt idx="40">
                  <c:v>0.013574660633484163</c:v>
                </c:pt>
                <c:pt idx="41">
                  <c:v>0.013574660633484163</c:v>
                </c:pt>
                <c:pt idx="42">
                  <c:v>0.013574660633484163</c:v>
                </c:pt>
                <c:pt idx="43">
                  <c:v>0.013574660633484163</c:v>
                </c:pt>
                <c:pt idx="44">
                  <c:v>0.013574660633484163</c:v>
                </c:pt>
                <c:pt idx="45">
                  <c:v>0.013574660633484163</c:v>
                </c:pt>
                <c:pt idx="46">
                  <c:v>0.013574660633484163</c:v>
                </c:pt>
                <c:pt idx="47">
                  <c:v>0.013574660633484163</c:v>
                </c:pt>
                <c:pt idx="48">
                  <c:v>0.013574660633484163</c:v>
                </c:pt>
                <c:pt idx="49">
                  <c:v>0.013574660633484163</c:v>
                </c:pt>
                <c:pt idx="50">
                  <c:v>0.013574660633484163</c:v>
                </c:pt>
                <c:pt idx="51">
                  <c:v>0.013574660633484163</c:v>
                </c:pt>
                <c:pt idx="52">
                  <c:v>0.013574660633484163</c:v>
                </c:pt>
                <c:pt idx="53">
                  <c:v>0.013574660633484163</c:v>
                </c:pt>
                <c:pt idx="54">
                  <c:v>0.013574660633484163</c:v>
                </c:pt>
                <c:pt idx="55">
                  <c:v>0.013574660633484163</c:v>
                </c:pt>
                <c:pt idx="56">
                  <c:v>0.013574660633484163</c:v>
                </c:pt>
                <c:pt idx="57">
                  <c:v>0.013574660633484163</c:v>
                </c:pt>
                <c:pt idx="58">
                  <c:v>0.013574660633484163</c:v>
                </c:pt>
                <c:pt idx="59">
                  <c:v>0.013574660633484163</c:v>
                </c:pt>
                <c:pt idx="60">
                  <c:v>0.013574660633484163</c:v>
                </c:pt>
                <c:pt idx="61">
                  <c:v>0.013574660633484163</c:v>
                </c:pt>
                <c:pt idx="62">
                  <c:v>0.013574660633484163</c:v>
                </c:pt>
                <c:pt idx="63">
                  <c:v>0.013574660633484163</c:v>
                </c:pt>
                <c:pt idx="64">
                  <c:v>0.013574660633484163</c:v>
                </c:pt>
                <c:pt idx="65">
                  <c:v>0.013574660633484163</c:v>
                </c:pt>
                <c:pt idx="66">
                  <c:v>0.013574660633484163</c:v>
                </c:pt>
                <c:pt idx="67">
                  <c:v>0.013574660633484163</c:v>
                </c:pt>
                <c:pt idx="68">
                  <c:v>0.013574660633484163</c:v>
                </c:pt>
                <c:pt idx="69">
                  <c:v>0.013574660633484163</c:v>
                </c:pt>
                <c:pt idx="70">
                  <c:v>0.013574660633484163</c:v>
                </c:pt>
                <c:pt idx="71">
                  <c:v>0.013574660633484163</c:v>
                </c:pt>
                <c:pt idx="72">
                  <c:v>0.013574660633484163</c:v>
                </c:pt>
                <c:pt idx="73">
                  <c:v>0.013574660633484163</c:v>
                </c:pt>
                <c:pt idx="74">
                  <c:v>0.013574660633484163</c:v>
                </c:pt>
                <c:pt idx="75">
                  <c:v>0.013574660633484163</c:v>
                </c:pt>
                <c:pt idx="76">
                  <c:v>0.013574660633484163</c:v>
                </c:pt>
                <c:pt idx="77">
                  <c:v>0.013574660633484163</c:v>
                </c:pt>
                <c:pt idx="78">
                  <c:v>0.013574660633484163</c:v>
                </c:pt>
                <c:pt idx="79">
                  <c:v>0.013574660633484163</c:v>
                </c:pt>
                <c:pt idx="80">
                  <c:v>0.013574660633484163</c:v>
                </c:pt>
                <c:pt idx="81">
                  <c:v>0.013574660633484163</c:v>
                </c:pt>
                <c:pt idx="82">
                  <c:v>0.013574660633484163</c:v>
                </c:pt>
                <c:pt idx="83">
                  <c:v>0.013574660633484163</c:v>
                </c:pt>
                <c:pt idx="84">
                  <c:v>0.013574660633484163</c:v>
                </c:pt>
                <c:pt idx="85">
                  <c:v>0.013574660633484163</c:v>
                </c:pt>
                <c:pt idx="86">
                  <c:v>0.013574660633484163</c:v>
                </c:pt>
                <c:pt idx="87">
                  <c:v>0.013574660633484163</c:v>
                </c:pt>
                <c:pt idx="88">
                  <c:v>0.013574660633484163</c:v>
                </c:pt>
                <c:pt idx="89">
                  <c:v>0.013574660633484163</c:v>
                </c:pt>
                <c:pt idx="90">
                  <c:v>0.013574660633484163</c:v>
                </c:pt>
                <c:pt idx="91">
                  <c:v>0.013574660633484163</c:v>
                </c:pt>
                <c:pt idx="92">
                  <c:v>0.013574660633484163</c:v>
                </c:pt>
                <c:pt idx="93">
                  <c:v>0.013574660633484163</c:v>
                </c:pt>
                <c:pt idx="94">
                  <c:v>0.013574660633484163</c:v>
                </c:pt>
                <c:pt idx="95">
                  <c:v>0.013574660633484163</c:v>
                </c:pt>
                <c:pt idx="96">
                  <c:v>0.013574660633484163</c:v>
                </c:pt>
                <c:pt idx="97">
                  <c:v>0.013574660633484163</c:v>
                </c:pt>
                <c:pt idx="98">
                  <c:v>0.013574660633484163</c:v>
                </c:pt>
                <c:pt idx="99">
                  <c:v>0.013574660633484163</c:v>
                </c:pt>
                <c:pt idx="100">
                  <c:v>0.013574660633484163</c:v>
                </c:pt>
                <c:pt idx="101">
                  <c:v>0.013574660633484163</c:v>
                </c:pt>
                <c:pt idx="102">
                  <c:v>0.013574660633484163</c:v>
                </c:pt>
                <c:pt idx="103">
                  <c:v>0.013574660633484163</c:v>
                </c:pt>
                <c:pt idx="104">
                  <c:v>0.013574660633484163</c:v>
                </c:pt>
                <c:pt idx="105">
                  <c:v>0.013574660633484163</c:v>
                </c:pt>
                <c:pt idx="106">
                  <c:v>0.013574660633484163</c:v>
                </c:pt>
                <c:pt idx="107">
                  <c:v>0.013574660633484163</c:v>
                </c:pt>
                <c:pt idx="108">
                  <c:v>0.013574660633484163</c:v>
                </c:pt>
                <c:pt idx="109">
                  <c:v>0.013574660633484163</c:v>
                </c:pt>
                <c:pt idx="110">
                  <c:v>0.013574660633484163</c:v>
                </c:pt>
                <c:pt idx="111">
                  <c:v>0.013574660633484163</c:v>
                </c:pt>
                <c:pt idx="112">
                  <c:v>0.013574660633484163</c:v>
                </c:pt>
                <c:pt idx="113">
                  <c:v>0.013574660633484163</c:v>
                </c:pt>
                <c:pt idx="114">
                  <c:v>0.013574660633484163</c:v>
                </c:pt>
                <c:pt idx="115">
                  <c:v>0.013574660633484163</c:v>
                </c:pt>
                <c:pt idx="116">
                  <c:v>0.013574660633484163</c:v>
                </c:pt>
                <c:pt idx="117">
                  <c:v>0.013574660633484163</c:v>
                </c:pt>
                <c:pt idx="118">
                  <c:v>0.013574660633484163</c:v>
                </c:pt>
                <c:pt idx="119">
                  <c:v>0.013574660633484163</c:v>
                </c:pt>
                <c:pt idx="120">
                  <c:v>0.013574660633484163</c:v>
                </c:pt>
                <c:pt idx="121">
                  <c:v>0.013574660633484163</c:v>
                </c:pt>
                <c:pt idx="122">
                  <c:v>0.013574660633484163</c:v>
                </c:pt>
                <c:pt idx="123">
                  <c:v>0.013574660633484163</c:v>
                </c:pt>
                <c:pt idx="124">
                  <c:v>0.013574660633484163</c:v>
                </c:pt>
                <c:pt idx="125">
                  <c:v>0.013574660633484163</c:v>
                </c:pt>
                <c:pt idx="126">
                  <c:v>0.013574660633484163</c:v>
                </c:pt>
                <c:pt idx="127">
                  <c:v>0.013574660633484163</c:v>
                </c:pt>
                <c:pt idx="128">
                  <c:v>0.013574660633484163</c:v>
                </c:pt>
                <c:pt idx="129">
                  <c:v>0.013574660633484163</c:v>
                </c:pt>
                <c:pt idx="130">
                  <c:v>0.013574660633484163</c:v>
                </c:pt>
                <c:pt idx="131">
                  <c:v>0.013574660633484163</c:v>
                </c:pt>
                <c:pt idx="132">
                  <c:v>0.013574660633484163</c:v>
                </c:pt>
                <c:pt idx="133">
                  <c:v>0.013574660633484163</c:v>
                </c:pt>
                <c:pt idx="134">
                  <c:v>0.013574660633484163</c:v>
                </c:pt>
                <c:pt idx="135">
                  <c:v>0.013574660633484163</c:v>
                </c:pt>
                <c:pt idx="136">
                  <c:v>0.013574660633484163</c:v>
                </c:pt>
                <c:pt idx="137">
                  <c:v>0.013574660633484163</c:v>
                </c:pt>
                <c:pt idx="138">
                  <c:v>0.013574660633484163</c:v>
                </c:pt>
                <c:pt idx="139">
                  <c:v>0.013574660633484163</c:v>
                </c:pt>
                <c:pt idx="140">
                  <c:v>0.013574660633484163</c:v>
                </c:pt>
                <c:pt idx="141">
                  <c:v>0.013574660633484163</c:v>
                </c:pt>
                <c:pt idx="142">
                  <c:v>0.013574660633484163</c:v>
                </c:pt>
                <c:pt idx="143">
                  <c:v>0.013574660633484163</c:v>
                </c:pt>
                <c:pt idx="144">
                  <c:v>0.013574660633484163</c:v>
                </c:pt>
                <c:pt idx="145">
                  <c:v>0.013574660633484163</c:v>
                </c:pt>
                <c:pt idx="146">
                  <c:v>0.013574660633484163</c:v>
                </c:pt>
                <c:pt idx="147">
                  <c:v>0.013574660633484163</c:v>
                </c:pt>
                <c:pt idx="148">
                  <c:v>0.013574660633484163</c:v>
                </c:pt>
                <c:pt idx="149">
                  <c:v>0.013574660633484163</c:v>
                </c:pt>
                <c:pt idx="150">
                  <c:v>0.013574660633484163</c:v>
                </c:pt>
                <c:pt idx="151">
                  <c:v>0.013574660633484163</c:v>
                </c:pt>
                <c:pt idx="152">
                  <c:v>0.013574660633484163</c:v>
                </c:pt>
                <c:pt idx="153">
                  <c:v>0.013574660633484163</c:v>
                </c:pt>
                <c:pt idx="154">
                  <c:v>0.013574660633484163</c:v>
                </c:pt>
                <c:pt idx="155">
                  <c:v>0.013574660633484163</c:v>
                </c:pt>
                <c:pt idx="156">
                  <c:v>0.013574660633484163</c:v>
                </c:pt>
                <c:pt idx="157">
                  <c:v>0.013574660633484163</c:v>
                </c:pt>
                <c:pt idx="158">
                  <c:v>0.013574660633484163</c:v>
                </c:pt>
                <c:pt idx="159">
                  <c:v>0.013574660633484163</c:v>
                </c:pt>
                <c:pt idx="160">
                  <c:v>0.013574660633484163</c:v>
                </c:pt>
                <c:pt idx="161">
                  <c:v>0.013574660633484163</c:v>
                </c:pt>
                <c:pt idx="162">
                  <c:v>0.013574660633484163</c:v>
                </c:pt>
                <c:pt idx="163">
                  <c:v>0.013574660633484163</c:v>
                </c:pt>
                <c:pt idx="164">
                  <c:v>0.013574660633484163</c:v>
                </c:pt>
                <c:pt idx="165">
                  <c:v>0.013574660633484163</c:v>
                </c:pt>
                <c:pt idx="166">
                  <c:v>0.013574660633484163</c:v>
                </c:pt>
                <c:pt idx="167">
                  <c:v>0.013574660633484163</c:v>
                </c:pt>
                <c:pt idx="168">
                  <c:v>0.013574660633484163</c:v>
                </c:pt>
                <c:pt idx="169">
                  <c:v>0.013574660633484163</c:v>
                </c:pt>
                <c:pt idx="170">
                  <c:v>0.013574660633484163</c:v>
                </c:pt>
                <c:pt idx="171">
                  <c:v>0.013574660633484163</c:v>
                </c:pt>
                <c:pt idx="172">
                  <c:v>0.013574660633484163</c:v>
                </c:pt>
                <c:pt idx="173">
                  <c:v>0.013574660633484163</c:v>
                </c:pt>
                <c:pt idx="174">
                  <c:v>0.013574660633484163</c:v>
                </c:pt>
                <c:pt idx="175">
                  <c:v>0.013574660633484163</c:v>
                </c:pt>
                <c:pt idx="176">
                  <c:v>0.013574660633484163</c:v>
                </c:pt>
                <c:pt idx="177">
                  <c:v>0.013574660633484163</c:v>
                </c:pt>
                <c:pt idx="178">
                  <c:v>0.013574660633484163</c:v>
                </c:pt>
                <c:pt idx="179">
                  <c:v>0.013574660633484163</c:v>
                </c:pt>
                <c:pt idx="180">
                  <c:v>0.013574660633484163</c:v>
                </c:pt>
                <c:pt idx="181">
                  <c:v>0.013574660633484163</c:v>
                </c:pt>
                <c:pt idx="182">
                  <c:v>0.013574660633484163</c:v>
                </c:pt>
                <c:pt idx="183">
                  <c:v>0.013574660633484163</c:v>
                </c:pt>
                <c:pt idx="184">
                  <c:v>0.013574660633484163</c:v>
                </c:pt>
                <c:pt idx="185">
                  <c:v>0.013574660633484163</c:v>
                </c:pt>
                <c:pt idx="186">
                  <c:v>0.013574660633484163</c:v>
                </c:pt>
                <c:pt idx="187">
                  <c:v>0.013574660633484163</c:v>
                </c:pt>
                <c:pt idx="188">
                  <c:v>0.013574660633484163</c:v>
                </c:pt>
                <c:pt idx="189">
                  <c:v>0.013574660633484163</c:v>
                </c:pt>
                <c:pt idx="190">
                  <c:v>0.013574660633484163</c:v>
                </c:pt>
                <c:pt idx="191">
                  <c:v>0.013574660633484163</c:v>
                </c:pt>
                <c:pt idx="192">
                  <c:v>0.013574660633484163</c:v>
                </c:pt>
                <c:pt idx="193">
                  <c:v>0.013574660633484163</c:v>
                </c:pt>
                <c:pt idx="194">
                  <c:v>0.013574660633484163</c:v>
                </c:pt>
                <c:pt idx="195">
                  <c:v>0.013574660633484163</c:v>
                </c:pt>
                <c:pt idx="196">
                  <c:v>0.013574660633484163</c:v>
                </c:pt>
                <c:pt idx="197">
                  <c:v>0.013574660633484163</c:v>
                </c:pt>
                <c:pt idx="198">
                  <c:v>0.013574660633484163</c:v>
                </c:pt>
                <c:pt idx="199">
                  <c:v>0.013574660633484163</c:v>
                </c:pt>
                <c:pt idx="200">
                  <c:v>0.013574660633484163</c:v>
                </c:pt>
                <c:pt idx="201">
                  <c:v>0.013574660633484163</c:v>
                </c:pt>
                <c:pt idx="202">
                  <c:v>0.013574660633484163</c:v>
                </c:pt>
                <c:pt idx="203">
                  <c:v>0.013574660633484163</c:v>
                </c:pt>
                <c:pt idx="204">
                  <c:v>0.013574660633484163</c:v>
                </c:pt>
                <c:pt idx="205">
                  <c:v>0.013574660633484163</c:v>
                </c:pt>
                <c:pt idx="206">
                  <c:v>0.013574660633484163</c:v>
                </c:pt>
                <c:pt idx="207">
                  <c:v>0.013574660633484163</c:v>
                </c:pt>
                <c:pt idx="208">
                  <c:v>0.013574660633484163</c:v>
                </c:pt>
                <c:pt idx="209">
                  <c:v>0.013574660633484163</c:v>
                </c:pt>
                <c:pt idx="210">
                  <c:v>0.013574660633484163</c:v>
                </c:pt>
                <c:pt idx="211">
                  <c:v>0.013574660633484163</c:v>
                </c:pt>
                <c:pt idx="212">
                  <c:v>0.013574660633484163</c:v>
                </c:pt>
                <c:pt idx="213">
                  <c:v>0.013574660633484163</c:v>
                </c:pt>
                <c:pt idx="214">
                  <c:v>0.013574660633484163</c:v>
                </c:pt>
                <c:pt idx="215">
                  <c:v>0.013574660633484163</c:v>
                </c:pt>
                <c:pt idx="216">
                  <c:v>0.013574660633484163</c:v>
                </c:pt>
                <c:pt idx="217">
                  <c:v>0.013574660633484163</c:v>
                </c:pt>
                <c:pt idx="218">
                  <c:v>0.013574660633484163</c:v>
                </c:pt>
                <c:pt idx="219">
                  <c:v>0.013574660633484163</c:v>
                </c:pt>
                <c:pt idx="220">
                  <c:v>0.013574660633484163</c:v>
                </c:pt>
                <c:pt idx="221">
                  <c:v>0.013574660633484163</c:v>
                </c:pt>
                <c:pt idx="222">
                  <c:v>0.013574660633484163</c:v>
                </c:pt>
                <c:pt idx="223">
                  <c:v>0.013574660633484163</c:v>
                </c:pt>
                <c:pt idx="224">
                  <c:v>0.013574660633484163</c:v>
                </c:pt>
                <c:pt idx="225">
                  <c:v>0.013574660633484163</c:v>
                </c:pt>
                <c:pt idx="226">
                  <c:v>0.013574660633484163</c:v>
                </c:pt>
                <c:pt idx="227">
                  <c:v>0.013574660633484163</c:v>
                </c:pt>
                <c:pt idx="228">
                  <c:v>0.013574660633484163</c:v>
                </c:pt>
                <c:pt idx="229">
                  <c:v>0.013574660633484163</c:v>
                </c:pt>
                <c:pt idx="230">
                  <c:v>0.013574660633484163</c:v>
                </c:pt>
                <c:pt idx="231">
                  <c:v>0.013574660633484163</c:v>
                </c:pt>
                <c:pt idx="232">
                  <c:v>0.013574660633484163</c:v>
                </c:pt>
                <c:pt idx="233">
                  <c:v>0.013574660633484163</c:v>
                </c:pt>
                <c:pt idx="234">
                  <c:v>0.013574660633484163</c:v>
                </c:pt>
                <c:pt idx="235">
                  <c:v>0.013574660633484163</c:v>
                </c:pt>
                <c:pt idx="236">
                  <c:v>0.013574660633484163</c:v>
                </c:pt>
                <c:pt idx="237">
                  <c:v>0.013574660633484163</c:v>
                </c:pt>
                <c:pt idx="238">
                  <c:v>0.013574660633484163</c:v>
                </c:pt>
                <c:pt idx="239">
                  <c:v>0.013574660633484163</c:v>
                </c:pt>
                <c:pt idx="240">
                  <c:v>0.013574660633484163</c:v>
                </c:pt>
                <c:pt idx="241">
                  <c:v>0.013574660633484163</c:v>
                </c:pt>
                <c:pt idx="242">
                  <c:v>0.013574660633484163</c:v>
                </c:pt>
                <c:pt idx="243">
                  <c:v>0.013574660633484163</c:v>
                </c:pt>
                <c:pt idx="244">
                  <c:v>0.013574660633484163</c:v>
                </c:pt>
                <c:pt idx="245">
                  <c:v>0.013574660633484163</c:v>
                </c:pt>
                <c:pt idx="246">
                  <c:v>0.013574660633484163</c:v>
                </c:pt>
                <c:pt idx="247">
                  <c:v>0.013574660633484163</c:v>
                </c:pt>
                <c:pt idx="248">
                  <c:v>0.013574660633484163</c:v>
                </c:pt>
                <c:pt idx="249">
                  <c:v>0.013574660633484163</c:v>
                </c:pt>
                <c:pt idx="250">
                  <c:v>0.013574660633484163</c:v>
                </c:pt>
                <c:pt idx="251">
                  <c:v>0.013574660633484163</c:v>
                </c:pt>
                <c:pt idx="252">
                  <c:v>0.013574660633484163</c:v>
                </c:pt>
                <c:pt idx="253">
                  <c:v>0.013574660633484163</c:v>
                </c:pt>
                <c:pt idx="254">
                  <c:v>0.013574660633484163</c:v>
                </c:pt>
                <c:pt idx="255">
                  <c:v>0.013574660633484163</c:v>
                </c:pt>
                <c:pt idx="256">
                  <c:v>0.013574660633484163</c:v>
                </c:pt>
                <c:pt idx="257">
                  <c:v>0.013574660633484163</c:v>
                </c:pt>
                <c:pt idx="258">
                  <c:v>0.013574660633484163</c:v>
                </c:pt>
                <c:pt idx="259">
                  <c:v>0.013574660633484163</c:v>
                </c:pt>
                <c:pt idx="260">
                  <c:v>0.013574660633484163</c:v>
                </c:pt>
                <c:pt idx="261">
                  <c:v>0.013574660633484163</c:v>
                </c:pt>
                <c:pt idx="262">
                  <c:v>0.013574660633484163</c:v>
                </c:pt>
                <c:pt idx="263">
                  <c:v>0.013574660633484163</c:v>
                </c:pt>
                <c:pt idx="264">
                  <c:v>0.013574660633484163</c:v>
                </c:pt>
                <c:pt idx="265">
                  <c:v>0.013574660633484163</c:v>
                </c:pt>
                <c:pt idx="266">
                  <c:v>0.013574660633484163</c:v>
                </c:pt>
                <c:pt idx="267">
                  <c:v>0.013574660633484163</c:v>
                </c:pt>
                <c:pt idx="268">
                  <c:v>0.013574660633484163</c:v>
                </c:pt>
                <c:pt idx="269">
                  <c:v>0.013574660633484163</c:v>
                </c:pt>
                <c:pt idx="270">
                  <c:v>0.013574660633484163</c:v>
                </c:pt>
                <c:pt idx="271">
                  <c:v>0.013574660633484163</c:v>
                </c:pt>
                <c:pt idx="272">
                  <c:v>0.013574660633484163</c:v>
                </c:pt>
                <c:pt idx="273">
                  <c:v>0.013574660633484163</c:v>
                </c:pt>
                <c:pt idx="274">
                  <c:v>0.013574660633484163</c:v>
                </c:pt>
                <c:pt idx="275">
                  <c:v>0.013574660633484163</c:v>
                </c:pt>
                <c:pt idx="276">
                  <c:v>0.013574660633484163</c:v>
                </c:pt>
                <c:pt idx="277">
                  <c:v>0.013574660633484163</c:v>
                </c:pt>
                <c:pt idx="278">
                  <c:v>0.013574660633484163</c:v>
                </c:pt>
                <c:pt idx="279">
                  <c:v>0.013574660633484163</c:v>
                </c:pt>
                <c:pt idx="280">
                  <c:v>0.013574660633484163</c:v>
                </c:pt>
                <c:pt idx="281">
                  <c:v>0.013574660633484163</c:v>
                </c:pt>
                <c:pt idx="282">
                  <c:v>0.013574660633484163</c:v>
                </c:pt>
                <c:pt idx="283">
                  <c:v>0.013574660633484163</c:v>
                </c:pt>
                <c:pt idx="284">
                  <c:v>0.013574660633484163</c:v>
                </c:pt>
                <c:pt idx="285">
                  <c:v>0.013574660633484163</c:v>
                </c:pt>
                <c:pt idx="286">
                  <c:v>0.013574660633484163</c:v>
                </c:pt>
                <c:pt idx="287">
                  <c:v>0.013574660633484163</c:v>
                </c:pt>
                <c:pt idx="288">
                  <c:v>0.013574660633484163</c:v>
                </c:pt>
                <c:pt idx="289">
                  <c:v>0.013574660633484163</c:v>
                </c:pt>
                <c:pt idx="290">
                  <c:v>0.013574660633484163</c:v>
                </c:pt>
                <c:pt idx="291">
                  <c:v>0.013574660633484163</c:v>
                </c:pt>
                <c:pt idx="292">
                  <c:v>0.013574660633484163</c:v>
                </c:pt>
                <c:pt idx="293">
                  <c:v>0.013574660633484163</c:v>
                </c:pt>
                <c:pt idx="294">
                  <c:v>0.013574660633484163</c:v>
                </c:pt>
                <c:pt idx="295">
                  <c:v>0.013574660633484163</c:v>
                </c:pt>
                <c:pt idx="296">
                  <c:v>0.013574660633484163</c:v>
                </c:pt>
                <c:pt idx="297">
                  <c:v>0.013574660633484163</c:v>
                </c:pt>
                <c:pt idx="298">
                  <c:v>0.013574660633484163</c:v>
                </c:pt>
                <c:pt idx="299">
                  <c:v>0.013574660633484163</c:v>
                </c:pt>
                <c:pt idx="300">
                  <c:v>0.013574660633484163</c:v>
                </c:pt>
                <c:pt idx="301">
                  <c:v>0.013574660633484163</c:v>
                </c:pt>
                <c:pt idx="302">
                  <c:v>0.013574660633484163</c:v>
                </c:pt>
                <c:pt idx="303">
                  <c:v>0.013574660633484163</c:v>
                </c:pt>
                <c:pt idx="304">
                  <c:v>0.013574660633484163</c:v>
                </c:pt>
                <c:pt idx="305">
                  <c:v>0.013574660633484163</c:v>
                </c:pt>
                <c:pt idx="306">
                  <c:v>0.013574660633484163</c:v>
                </c:pt>
                <c:pt idx="307">
                  <c:v>0.013574660633484163</c:v>
                </c:pt>
                <c:pt idx="308">
                  <c:v>0.013574660633484163</c:v>
                </c:pt>
                <c:pt idx="309">
                  <c:v>0.013574660633484163</c:v>
                </c:pt>
                <c:pt idx="310">
                  <c:v>0.013574660633484163</c:v>
                </c:pt>
                <c:pt idx="311">
                  <c:v>0.013574660633484163</c:v>
                </c:pt>
                <c:pt idx="312">
                  <c:v>0.013574660633484163</c:v>
                </c:pt>
                <c:pt idx="313">
                  <c:v>0.013574660633484163</c:v>
                </c:pt>
                <c:pt idx="314">
                  <c:v>0.013574660633484163</c:v>
                </c:pt>
                <c:pt idx="315">
                  <c:v>0.013574660633484163</c:v>
                </c:pt>
                <c:pt idx="316">
                  <c:v>0.013574660633484163</c:v>
                </c:pt>
                <c:pt idx="317">
                  <c:v>0.013574660633484163</c:v>
                </c:pt>
                <c:pt idx="318">
                  <c:v>0.013574660633484163</c:v>
                </c:pt>
                <c:pt idx="319">
                  <c:v>0.013574660633484163</c:v>
                </c:pt>
                <c:pt idx="320">
                  <c:v>0.013574660633484163</c:v>
                </c:pt>
                <c:pt idx="321">
                  <c:v>0.013574660633484163</c:v>
                </c:pt>
                <c:pt idx="322">
                  <c:v>0.013574660633484163</c:v>
                </c:pt>
                <c:pt idx="323">
                  <c:v>0.013574660633484163</c:v>
                </c:pt>
                <c:pt idx="324">
                  <c:v>0.013574660633484163</c:v>
                </c:pt>
                <c:pt idx="325">
                  <c:v>0.013574660633484163</c:v>
                </c:pt>
                <c:pt idx="326">
                  <c:v>0.013574660633484163</c:v>
                </c:pt>
                <c:pt idx="327">
                  <c:v>0.013574660633484163</c:v>
                </c:pt>
                <c:pt idx="328">
                  <c:v>0.013574660633484163</c:v>
                </c:pt>
                <c:pt idx="329">
                  <c:v>0.013574660633484163</c:v>
                </c:pt>
                <c:pt idx="330">
                  <c:v>0.013574660633484163</c:v>
                </c:pt>
                <c:pt idx="331">
                  <c:v>0.013574660633484163</c:v>
                </c:pt>
                <c:pt idx="332">
                  <c:v>0.013574660633484163</c:v>
                </c:pt>
                <c:pt idx="333">
                  <c:v>0.013574660633484163</c:v>
                </c:pt>
                <c:pt idx="334">
                  <c:v>0.013574660633484163</c:v>
                </c:pt>
                <c:pt idx="335">
                  <c:v>0.013574660633484163</c:v>
                </c:pt>
                <c:pt idx="336">
                  <c:v>0.013574660633484163</c:v>
                </c:pt>
                <c:pt idx="337">
                  <c:v>0.013574660633484163</c:v>
                </c:pt>
                <c:pt idx="338">
                  <c:v>0.013574660633484163</c:v>
                </c:pt>
                <c:pt idx="339">
                  <c:v>0.013574660633484163</c:v>
                </c:pt>
                <c:pt idx="340">
                  <c:v>0.013574660633484163</c:v>
                </c:pt>
                <c:pt idx="341">
                  <c:v>0.013574660633484163</c:v>
                </c:pt>
                <c:pt idx="342">
                  <c:v>0.013574660633484163</c:v>
                </c:pt>
                <c:pt idx="343">
                  <c:v>0.013574660633484163</c:v>
                </c:pt>
                <c:pt idx="344">
                  <c:v>0.013574660633484163</c:v>
                </c:pt>
                <c:pt idx="345">
                  <c:v>0.013574660633484163</c:v>
                </c:pt>
                <c:pt idx="346">
                  <c:v>0.013574660633484163</c:v>
                </c:pt>
                <c:pt idx="347">
                  <c:v>0.013574660633484163</c:v>
                </c:pt>
                <c:pt idx="348">
                  <c:v>0.013574660633484163</c:v>
                </c:pt>
                <c:pt idx="349">
                  <c:v>0.013574660633484163</c:v>
                </c:pt>
                <c:pt idx="350">
                  <c:v>0.013574660633484163</c:v>
                </c:pt>
                <c:pt idx="351">
                  <c:v>0.013574660633484163</c:v>
                </c:pt>
                <c:pt idx="352">
                  <c:v>0.013574660633484163</c:v>
                </c:pt>
                <c:pt idx="353">
                  <c:v>0.013574660633484163</c:v>
                </c:pt>
                <c:pt idx="354">
                  <c:v>0.013574660633484163</c:v>
                </c:pt>
                <c:pt idx="355">
                  <c:v>0.013574660633484163</c:v>
                </c:pt>
                <c:pt idx="356">
                  <c:v>0.013574660633484163</c:v>
                </c:pt>
                <c:pt idx="357">
                  <c:v>0.013574660633484163</c:v>
                </c:pt>
                <c:pt idx="358">
                  <c:v>0.013574660633484163</c:v>
                </c:pt>
                <c:pt idx="359">
                  <c:v>0.013574660633484163</c:v>
                </c:pt>
                <c:pt idx="360">
                  <c:v>0.013574660633484163</c:v>
                </c:pt>
                <c:pt idx="361">
                  <c:v>0.013574660633484163</c:v>
                </c:pt>
                <c:pt idx="362">
                  <c:v>0.013574660633484163</c:v>
                </c:pt>
                <c:pt idx="363">
                  <c:v>0.013574660633484163</c:v>
                </c:pt>
                <c:pt idx="364">
                  <c:v>0.013574660633484163</c:v>
                </c:pt>
                <c:pt idx="365">
                  <c:v>0.013574660633484163</c:v>
                </c:pt>
                <c:pt idx="366">
                  <c:v>0.013574660633484163</c:v>
                </c:pt>
                <c:pt idx="367">
                  <c:v>0.013574660633484163</c:v>
                </c:pt>
                <c:pt idx="368">
                  <c:v>0.013574660633484163</c:v>
                </c:pt>
                <c:pt idx="369">
                  <c:v>0.013574660633484163</c:v>
                </c:pt>
                <c:pt idx="370">
                  <c:v>0.013574660633484163</c:v>
                </c:pt>
                <c:pt idx="371">
                  <c:v>0.013574660633484163</c:v>
                </c:pt>
                <c:pt idx="372">
                  <c:v>0.013574660633484163</c:v>
                </c:pt>
                <c:pt idx="373">
                  <c:v>0.013574660633484163</c:v>
                </c:pt>
                <c:pt idx="374">
                  <c:v>0.013574660633484163</c:v>
                </c:pt>
                <c:pt idx="375">
                  <c:v>0.013574660633484163</c:v>
                </c:pt>
                <c:pt idx="376">
                  <c:v>0.013574660633484163</c:v>
                </c:pt>
                <c:pt idx="377">
                  <c:v>0.013574660633484163</c:v>
                </c:pt>
                <c:pt idx="378">
                  <c:v>0.013574660633484163</c:v>
                </c:pt>
                <c:pt idx="379">
                  <c:v>0.013574660633484163</c:v>
                </c:pt>
                <c:pt idx="380">
                  <c:v>0.013574660633484163</c:v>
                </c:pt>
                <c:pt idx="381">
                  <c:v>0.013574660633484163</c:v>
                </c:pt>
                <c:pt idx="382">
                  <c:v>0.013574660633484163</c:v>
                </c:pt>
                <c:pt idx="383">
                  <c:v>0.013574660633484163</c:v>
                </c:pt>
                <c:pt idx="384">
                  <c:v>0.013574660633484163</c:v>
                </c:pt>
                <c:pt idx="385">
                  <c:v>0.013574660633484163</c:v>
                </c:pt>
                <c:pt idx="386">
                  <c:v>0.013574660633484163</c:v>
                </c:pt>
                <c:pt idx="387">
                  <c:v>0.013574660633484163</c:v>
                </c:pt>
                <c:pt idx="388">
                  <c:v>0.013574660633484163</c:v>
                </c:pt>
                <c:pt idx="389">
                  <c:v>0.013574660633484163</c:v>
                </c:pt>
                <c:pt idx="390">
                  <c:v>0.013574660633484163</c:v>
                </c:pt>
                <c:pt idx="391">
                  <c:v>0.013574660633484163</c:v>
                </c:pt>
                <c:pt idx="392">
                  <c:v>0.013574660633484163</c:v>
                </c:pt>
                <c:pt idx="393">
                  <c:v>0.013574660633484163</c:v>
                </c:pt>
                <c:pt idx="394">
                  <c:v>0.013574660633484163</c:v>
                </c:pt>
                <c:pt idx="395">
                  <c:v>0.013574660633484163</c:v>
                </c:pt>
                <c:pt idx="396">
                  <c:v>0.013574660633484163</c:v>
                </c:pt>
                <c:pt idx="397">
                  <c:v>0.013574660633484163</c:v>
                </c:pt>
                <c:pt idx="398">
                  <c:v>0.013574660633484163</c:v>
                </c:pt>
                <c:pt idx="399">
                  <c:v>0.013574660633484163</c:v>
                </c:pt>
                <c:pt idx="400">
                  <c:v>0.013574660633484163</c:v>
                </c:pt>
                <c:pt idx="401">
                  <c:v>0.013574660633484163</c:v>
                </c:pt>
                <c:pt idx="402">
                  <c:v>0.013574660633484163</c:v>
                </c:pt>
                <c:pt idx="403">
                  <c:v>0.013574660633484163</c:v>
                </c:pt>
                <c:pt idx="404">
                  <c:v>0.013574660633484163</c:v>
                </c:pt>
                <c:pt idx="405">
                  <c:v>0.013574660633484163</c:v>
                </c:pt>
                <c:pt idx="406">
                  <c:v>0.013574660633484163</c:v>
                </c:pt>
                <c:pt idx="407">
                  <c:v>0.013574660633484163</c:v>
                </c:pt>
                <c:pt idx="408">
                  <c:v>0.013574660633484163</c:v>
                </c:pt>
                <c:pt idx="409">
                  <c:v>0.013574660633484163</c:v>
                </c:pt>
                <c:pt idx="410">
                  <c:v>0.013574660633484163</c:v>
                </c:pt>
                <c:pt idx="411">
                  <c:v>0.013574660633484163</c:v>
                </c:pt>
                <c:pt idx="412">
                  <c:v>0.013574660633484163</c:v>
                </c:pt>
                <c:pt idx="413">
                  <c:v>0.013574660633484163</c:v>
                </c:pt>
                <c:pt idx="414">
                  <c:v>0.013574660633484163</c:v>
                </c:pt>
                <c:pt idx="415">
                  <c:v>0.013574660633484163</c:v>
                </c:pt>
                <c:pt idx="416">
                  <c:v>0.013574660633484163</c:v>
                </c:pt>
                <c:pt idx="417">
                  <c:v>0.013574660633484163</c:v>
                </c:pt>
                <c:pt idx="418">
                  <c:v>0.013574660633484163</c:v>
                </c:pt>
                <c:pt idx="419">
                  <c:v>0.013574660633484163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'Cross-contamination model'!$L$3</c:f>
              <c:strCache>
                <c:ptCount val="1"/>
                <c:pt idx="0">
                  <c:v>Food contact surfaces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'Cross-contamination model'!$B$4:$B$424</c:f>
              <c:numCache>
                <c:ptCount val="4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</c:numCache>
            </c:numRef>
          </c:xVal>
          <c:yVal>
            <c:numRef>
              <c:f>'Cross-contamination model'!$L$4:$L$424</c:f>
              <c:numCache>
                <c:ptCount val="420"/>
                <c:pt idx="0">
                  <c:v>0.00266192070916144</c:v>
                </c:pt>
                <c:pt idx="1">
                  <c:v>0.00266192070916144</c:v>
                </c:pt>
                <c:pt idx="2">
                  <c:v>0.00266192070916144</c:v>
                </c:pt>
                <c:pt idx="3">
                  <c:v>0.00266192070916144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'Cross-contamination model'!$Q$3</c:f>
              <c:strCache>
                <c:ptCount val="1"/>
                <c:pt idx="0">
                  <c:v>Gloves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'Cross-contamination model'!$B$4:$B$424</c:f>
              <c:numCache>
                <c:ptCount val="4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</c:numCache>
            </c:numRef>
          </c:xVal>
          <c:yVal>
            <c:numRef>
              <c:f>'Cross-contamination model'!$Q$4:$Q$424</c:f>
              <c:numCache>
                <c:ptCount val="4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</c:numCache>
            </c:numRef>
          </c:yVal>
          <c:smooth val="0"/>
        </c:ser>
        <c:axId val="47602728"/>
        <c:axId val="25771369"/>
      </c:scatterChart>
      <c:valAx>
        <c:axId val="47602728"/>
        <c:scaling>
          <c:orientation val="minMax"/>
          <c:max val="4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Minutes of a shift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71369"/>
        <c:crosses val="autoZero"/>
        <c:crossBetween val="midCat"/>
        <c:dispUnits/>
        <c:majorUnit val="60"/>
      </c:valAx>
      <c:valAx>
        <c:axId val="257713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Prevalence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7602728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6"/>
          <c:y val="0"/>
          <c:w val="0.836"/>
          <c:h val="0.06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'Cross-contamination model'!$U$3</c:f>
              <c:strCache>
                <c:ptCount val="1"/>
                <c:pt idx="0">
                  <c:v>FP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'Cross-contamination model'!$B$4:$B$424</c:f>
              <c:numCache/>
            </c:numRef>
          </c:xVal>
          <c:yVal>
            <c:numRef>
              <c:f>'Cross-contamination model'!$U$4:$U$424</c:f>
            </c:numRef>
          </c:yVal>
          <c:smooth val="1"/>
        </c:ser>
        <c:ser>
          <c:idx val="1"/>
          <c:order val="1"/>
          <c:tx>
            <c:strRef>
              <c:f>'Cross-contamination model'!$V$3</c:f>
              <c:strCache>
                <c:ptCount val="1"/>
                <c:pt idx="0">
                  <c:v>FCS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'Cross-contamination model'!$B$4:$B$424</c:f>
              <c:numCache/>
            </c:numRef>
          </c:xVal>
          <c:yVal>
            <c:numRef>
              <c:f>'Cross-contamination model'!$V$4:$V$424</c:f>
            </c:numRef>
          </c:yVal>
          <c:smooth val="1"/>
        </c:ser>
        <c:ser>
          <c:idx val="2"/>
          <c:order val="2"/>
          <c:tx>
            <c:strRef>
              <c:f>'Cross-contamination model'!$W$3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'Cross-contamination model'!$B$4:$B$424</c:f>
              <c:numCache/>
            </c:numRef>
          </c:xVal>
          <c:yVal>
            <c:numRef>
              <c:f>'Cross-contamination model'!$W$4:$W$424</c:f>
            </c:numRef>
          </c:yVal>
          <c:smooth val="1"/>
        </c:ser>
        <c:axId val="30615730"/>
        <c:axId val="7106115"/>
      </c:scatterChart>
      <c:valAx>
        <c:axId val="3061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06115"/>
        <c:crosses val="autoZero"/>
        <c:crossBetween val="midCat"/>
        <c:dispUnits/>
      </c:valAx>
      <c:valAx>
        <c:axId val="7106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157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91</xdr:row>
      <xdr:rowOff>57150</xdr:rowOff>
    </xdr:from>
    <xdr:to>
      <xdr:col>7</xdr:col>
      <xdr:colOff>257175</xdr:colOff>
      <xdr:row>109</xdr:row>
      <xdr:rowOff>0</xdr:rowOff>
    </xdr:to>
    <xdr:graphicFrame>
      <xdr:nvGraphicFramePr>
        <xdr:cNvPr id="1" name="Chart 1"/>
        <xdr:cNvGraphicFramePr/>
      </xdr:nvGraphicFramePr>
      <xdr:xfrm>
        <a:off x="19050" y="15468600"/>
        <a:ext cx="5314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1</xdr:row>
      <xdr:rowOff>142875</xdr:rowOff>
    </xdr:from>
    <xdr:to>
      <xdr:col>28</xdr:col>
      <xdr:colOff>542925</xdr:colOff>
      <xdr:row>11</xdr:row>
      <xdr:rowOff>133350</xdr:rowOff>
    </xdr:to>
    <xdr:graphicFrame>
      <xdr:nvGraphicFramePr>
        <xdr:cNvPr id="1" name="Chart 827"/>
        <xdr:cNvGraphicFramePr/>
      </xdr:nvGraphicFramePr>
      <xdr:xfrm>
        <a:off x="13001625" y="371475"/>
        <a:ext cx="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7"/>
  <sheetViews>
    <sheetView workbookViewId="0" topLeftCell="A1">
      <selection activeCell="A1" sqref="A1"/>
    </sheetView>
  </sheetViews>
  <sheetFormatPr defaultColWidth="9.140625" defaultRowHeight="12.75"/>
  <cols>
    <col min="1" max="26" width="18.7109375" style="0" customWidth="1"/>
  </cols>
  <sheetData>
    <row r="1" spans="1:28" ht="12.75">
      <c r="A1" t="s">
        <v>46</v>
      </c>
      <c r="B1" t="s">
        <v>53</v>
      </c>
      <c r="C1" t="s">
        <v>50</v>
      </c>
      <c r="D1" t="s">
        <v>51</v>
      </c>
      <c r="E1" t="s">
        <v>48</v>
      </c>
      <c r="F1" t="s">
        <v>49</v>
      </c>
      <c r="G1" t="s">
        <v>65</v>
      </c>
      <c r="H1" t="s">
        <v>56</v>
      </c>
      <c r="I1" t="s">
        <v>57</v>
      </c>
      <c r="J1" t="s">
        <v>58</v>
      </c>
      <c r="K1" t="s">
        <v>59</v>
      </c>
      <c r="L1" t="s">
        <v>54</v>
      </c>
      <c r="M1" t="s">
        <v>60</v>
      </c>
      <c r="N1" t="s">
        <v>62</v>
      </c>
      <c r="O1" t="s">
        <v>66</v>
      </c>
      <c r="P1" t="s">
        <v>68</v>
      </c>
      <c r="Q1" t="s">
        <v>67</v>
      </c>
      <c r="R1" t="s">
        <v>47</v>
      </c>
      <c r="S1" t="s">
        <v>52</v>
      </c>
      <c r="Y1" t="s">
        <v>61</v>
      </c>
      <c r="Z1" t="s">
        <v>63</v>
      </c>
      <c r="AA1" t="s">
        <v>55</v>
      </c>
      <c r="AB1" t="s">
        <v>64</v>
      </c>
    </row>
    <row r="2" spans="5:19" ht="12.75">
      <c r="E2">
        <f>'Input paramaters &amp; Outputs'!$G$90</f>
        <v>0.013574660633484264</v>
      </c>
      <c r="S2">
        <v>13</v>
      </c>
    </row>
    <row r="3" spans="1:3" ht="12.75">
      <c r="A3" t="s">
        <v>44</v>
      </c>
      <c r="B3">
        <v>13</v>
      </c>
      <c r="C3" t="s">
        <v>45</v>
      </c>
    </row>
    <row r="4" spans="1:28" ht="12.75">
      <c r="A4" t="s">
        <v>46</v>
      </c>
      <c r="B4" t="s">
        <v>53</v>
      </c>
      <c r="C4" t="s">
        <v>50</v>
      </c>
      <c r="D4" t="s">
        <v>51</v>
      </c>
      <c r="E4" t="s">
        <v>48</v>
      </c>
      <c r="F4" t="s">
        <v>49</v>
      </c>
      <c r="G4" t="s">
        <v>65</v>
      </c>
      <c r="H4" t="s">
        <v>56</v>
      </c>
      <c r="I4" t="s">
        <v>57</v>
      </c>
      <c r="J4" t="s">
        <v>58</v>
      </c>
      <c r="K4" t="s">
        <v>59</v>
      </c>
      <c r="L4" t="s">
        <v>54</v>
      </c>
      <c r="M4" t="s">
        <v>60</v>
      </c>
      <c r="N4" t="s">
        <v>62</v>
      </c>
      <c r="O4" t="s">
        <v>66</v>
      </c>
      <c r="P4" t="s">
        <v>68</v>
      </c>
      <c r="Q4" t="s">
        <v>67</v>
      </c>
      <c r="R4" t="s">
        <v>47</v>
      </c>
      <c r="S4" t="s">
        <v>52</v>
      </c>
      <c r="Y4" t="s">
        <v>61</v>
      </c>
      <c r="Z4" t="s">
        <v>63</v>
      </c>
      <c r="AA4" t="s">
        <v>55</v>
      </c>
      <c r="AB4" t="s">
        <v>64</v>
      </c>
    </row>
    <row r="5" spans="1:88" ht="12.75">
      <c r="A5">
        <v>1</v>
      </c>
      <c r="B5" t="b">
        <v>0</v>
      </c>
      <c r="C5">
        <v>0</v>
      </c>
      <c r="D5" t="s">
        <v>70</v>
      </c>
      <c r="E5">
        <f>'Input paramaters &amp; Outputs'!$F$22</f>
        <v>1.91</v>
      </c>
      <c r="F5" t="s">
        <v>69</v>
      </c>
      <c r="G5" t="s">
        <v>78</v>
      </c>
      <c r="H5" s="18" t="s">
        <v>72</v>
      </c>
      <c r="I5" s="18" t="s">
        <v>77</v>
      </c>
      <c r="J5" s="18" t="s">
        <v>73</v>
      </c>
      <c r="K5" s="18" t="s">
        <v>73</v>
      </c>
      <c r="L5" s="18" t="s">
        <v>129</v>
      </c>
      <c r="M5">
        <v>5</v>
      </c>
      <c r="N5" t="b">
        <v>1</v>
      </c>
      <c r="O5" t="b">
        <v>0</v>
      </c>
      <c r="P5">
        <v>1</v>
      </c>
      <c r="Q5">
        <v>0</v>
      </c>
      <c r="R5">
        <v>1</v>
      </c>
      <c r="S5">
        <v>0</v>
      </c>
      <c r="T5" t="s">
        <v>71</v>
      </c>
      <c r="U5" s="18" t="s">
        <v>129</v>
      </c>
      <c r="W5">
        <v>0</v>
      </c>
      <c r="X5">
        <v>0</v>
      </c>
      <c r="Y5">
        <v>0</v>
      </c>
      <c r="Z5">
        <v>1</v>
      </c>
      <c r="AA5" t="b">
        <v>1</v>
      </c>
      <c r="AC5" s="18" t="s">
        <v>74</v>
      </c>
      <c r="AD5" s="18" t="s">
        <v>79</v>
      </c>
      <c r="AE5" s="18" t="s">
        <v>80</v>
      </c>
      <c r="AF5" s="18" t="s">
        <v>81</v>
      </c>
      <c r="AG5" s="18" t="s">
        <v>82</v>
      </c>
      <c r="AH5" s="18" t="s">
        <v>74</v>
      </c>
      <c r="AI5" s="18" t="s">
        <v>74</v>
      </c>
      <c r="AJ5" s="18" t="s">
        <v>74</v>
      </c>
      <c r="AK5" s="18" t="s">
        <v>74</v>
      </c>
      <c r="AL5" s="18" t="s">
        <v>74</v>
      </c>
      <c r="BB5" s="18" t="s">
        <v>133</v>
      </c>
      <c r="BC5" s="18" t="s">
        <v>134</v>
      </c>
      <c r="BD5" s="18" t="s">
        <v>135</v>
      </c>
      <c r="BE5" s="18" t="s">
        <v>136</v>
      </c>
      <c r="BF5" s="18" t="s">
        <v>137</v>
      </c>
      <c r="BG5" s="18" t="s">
        <v>75</v>
      </c>
      <c r="BH5" s="18" t="s">
        <v>75</v>
      </c>
      <c r="BI5" s="18" t="s">
        <v>75</v>
      </c>
      <c r="BJ5" s="18" t="s">
        <v>75</v>
      </c>
      <c r="BK5" s="18" t="s">
        <v>75</v>
      </c>
      <c r="CA5" t="s">
        <v>76</v>
      </c>
      <c r="CB5" t="s">
        <v>76</v>
      </c>
      <c r="CC5" t="s">
        <v>76</v>
      </c>
      <c r="CD5" t="s">
        <v>76</v>
      </c>
      <c r="CE5" t="s">
        <v>76</v>
      </c>
      <c r="CF5" t="s">
        <v>76</v>
      </c>
      <c r="CG5" t="s">
        <v>76</v>
      </c>
      <c r="CH5" t="s">
        <v>76</v>
      </c>
      <c r="CI5" t="s">
        <v>76</v>
      </c>
      <c r="CJ5" t="s">
        <v>76</v>
      </c>
    </row>
    <row r="6" spans="1:83" ht="12.75">
      <c r="A6">
        <v>2</v>
      </c>
      <c r="B6" t="b">
        <v>0</v>
      </c>
      <c r="C6">
        <v>0</v>
      </c>
      <c r="D6" t="s">
        <v>70</v>
      </c>
      <c r="E6">
        <f>'Input paramaters &amp; Outputs'!$F$23</f>
        <v>5.36</v>
      </c>
      <c r="F6" t="s">
        <v>83</v>
      </c>
      <c r="G6" t="s">
        <v>78</v>
      </c>
      <c r="H6" s="18" t="s">
        <v>85</v>
      </c>
      <c r="I6" s="18" t="s">
        <v>77</v>
      </c>
      <c r="J6" s="18" t="s">
        <v>73</v>
      </c>
      <c r="K6" s="18" t="s">
        <v>73</v>
      </c>
      <c r="L6" s="18" t="s">
        <v>152</v>
      </c>
      <c r="M6">
        <v>5</v>
      </c>
      <c r="N6" t="b">
        <v>1</v>
      </c>
      <c r="O6" t="b">
        <v>0</v>
      </c>
      <c r="P6">
        <v>1</v>
      </c>
      <c r="Q6">
        <v>0</v>
      </c>
      <c r="R6">
        <v>1</v>
      </c>
      <c r="S6">
        <v>0</v>
      </c>
      <c r="T6" t="s">
        <v>84</v>
      </c>
      <c r="U6" s="18" t="s">
        <v>152</v>
      </c>
      <c r="W6">
        <v>0</v>
      </c>
      <c r="X6">
        <v>0</v>
      </c>
      <c r="Y6">
        <v>0</v>
      </c>
      <c r="Z6">
        <v>1</v>
      </c>
      <c r="AA6" t="b">
        <v>1</v>
      </c>
      <c r="AC6" s="18" t="s">
        <v>74</v>
      </c>
      <c r="AD6" s="18" t="s">
        <v>79</v>
      </c>
      <c r="AE6" s="18" t="s">
        <v>80</v>
      </c>
      <c r="AF6" s="18" t="s">
        <v>81</v>
      </c>
      <c r="AG6" s="18" t="s">
        <v>82</v>
      </c>
      <c r="BB6" s="18" t="s">
        <v>153</v>
      </c>
      <c r="BC6" s="18" t="s">
        <v>154</v>
      </c>
      <c r="BD6" s="18" t="s">
        <v>155</v>
      </c>
      <c r="BE6" s="18" t="s">
        <v>156</v>
      </c>
      <c r="BF6" s="18" t="s">
        <v>157</v>
      </c>
      <c r="CA6" t="s">
        <v>76</v>
      </c>
      <c r="CB6" t="s">
        <v>86</v>
      </c>
      <c r="CC6" t="s">
        <v>87</v>
      </c>
      <c r="CD6" t="s">
        <v>88</v>
      </c>
      <c r="CE6" t="s">
        <v>89</v>
      </c>
    </row>
    <row r="7" spans="1:83" ht="12.75">
      <c r="A7">
        <v>3</v>
      </c>
      <c r="B7" t="b">
        <v>0</v>
      </c>
      <c r="C7">
        <v>0</v>
      </c>
      <c r="D7" t="s">
        <v>70</v>
      </c>
      <c r="E7">
        <f>'Input paramaters &amp; Outputs'!$F$24</f>
        <v>1.2</v>
      </c>
      <c r="F7" t="s">
        <v>90</v>
      </c>
      <c r="G7" t="s">
        <v>78</v>
      </c>
      <c r="H7" s="18" t="s">
        <v>85</v>
      </c>
      <c r="I7" s="18" t="s">
        <v>77</v>
      </c>
      <c r="J7" s="18" t="s">
        <v>73</v>
      </c>
      <c r="K7" s="18" t="s">
        <v>73</v>
      </c>
      <c r="L7" s="18" t="s">
        <v>158</v>
      </c>
      <c r="M7">
        <v>5</v>
      </c>
      <c r="N7" t="b">
        <v>1</v>
      </c>
      <c r="O7" t="b">
        <v>0</v>
      </c>
      <c r="P7">
        <v>1</v>
      </c>
      <c r="Q7">
        <v>0</v>
      </c>
      <c r="R7">
        <v>1</v>
      </c>
      <c r="S7">
        <v>0</v>
      </c>
      <c r="T7" t="s">
        <v>91</v>
      </c>
      <c r="U7" s="18" t="s">
        <v>92</v>
      </c>
      <c r="W7">
        <v>0</v>
      </c>
      <c r="X7">
        <v>0</v>
      </c>
      <c r="Y7">
        <v>0</v>
      </c>
      <c r="Z7">
        <v>1</v>
      </c>
      <c r="AA7" t="b">
        <v>1</v>
      </c>
      <c r="AC7" s="18" t="s">
        <v>74</v>
      </c>
      <c r="AD7" s="18" t="s">
        <v>79</v>
      </c>
      <c r="AE7" s="18" t="s">
        <v>80</v>
      </c>
      <c r="AF7" s="18" t="s">
        <v>81</v>
      </c>
      <c r="AG7" s="18" t="s">
        <v>82</v>
      </c>
      <c r="BB7" s="18" t="s">
        <v>93</v>
      </c>
      <c r="BC7" s="18" t="s">
        <v>94</v>
      </c>
      <c r="BD7" s="18" t="s">
        <v>95</v>
      </c>
      <c r="BE7" s="18" t="s">
        <v>96</v>
      </c>
      <c r="BF7" s="18" t="s">
        <v>97</v>
      </c>
      <c r="CA7" t="s">
        <v>76</v>
      </c>
      <c r="CB7" t="s">
        <v>86</v>
      </c>
      <c r="CC7" t="s">
        <v>87</v>
      </c>
      <c r="CD7" t="s">
        <v>88</v>
      </c>
      <c r="CE7" t="s">
        <v>89</v>
      </c>
    </row>
    <row r="8" spans="1:83" ht="12.75">
      <c r="A8">
        <v>4</v>
      </c>
      <c r="B8" t="b">
        <v>1</v>
      </c>
      <c r="C8">
        <v>0</v>
      </c>
      <c r="D8" t="s">
        <v>70</v>
      </c>
      <c r="E8">
        <f>'Input paramaters &amp; Outputs'!$F$26</f>
        <v>10.02</v>
      </c>
      <c r="F8" t="s">
        <v>98</v>
      </c>
      <c r="G8" t="s">
        <v>78</v>
      </c>
      <c r="H8" s="18" t="s">
        <v>85</v>
      </c>
      <c r="I8" s="18" t="s">
        <v>77</v>
      </c>
      <c r="J8" s="18" t="s">
        <v>73</v>
      </c>
      <c r="K8" s="18" t="s">
        <v>73</v>
      </c>
      <c r="L8" s="18" t="s">
        <v>159</v>
      </c>
      <c r="M8">
        <v>5</v>
      </c>
      <c r="N8" t="b">
        <v>1</v>
      </c>
      <c r="O8" t="b">
        <v>0</v>
      </c>
      <c r="P8">
        <v>1</v>
      </c>
      <c r="Q8">
        <v>0</v>
      </c>
      <c r="R8">
        <v>1</v>
      </c>
      <c r="S8">
        <v>0</v>
      </c>
      <c r="T8" t="s">
        <v>99</v>
      </c>
      <c r="U8" s="18" t="s">
        <v>159</v>
      </c>
      <c r="W8">
        <v>0</v>
      </c>
      <c r="X8">
        <v>0</v>
      </c>
      <c r="Y8">
        <v>0</v>
      </c>
      <c r="Z8">
        <v>1</v>
      </c>
      <c r="AA8" t="b">
        <v>1</v>
      </c>
      <c r="AC8" s="18" t="s">
        <v>74</v>
      </c>
      <c r="AD8" s="18" t="s">
        <v>79</v>
      </c>
      <c r="AE8" s="18" t="s">
        <v>80</v>
      </c>
      <c r="AF8" s="18" t="s">
        <v>81</v>
      </c>
      <c r="AG8" s="18" t="s">
        <v>82</v>
      </c>
      <c r="BB8" s="18" t="s">
        <v>160</v>
      </c>
      <c r="BC8" s="18" t="s">
        <v>161</v>
      </c>
      <c r="BD8" s="18" t="s">
        <v>162</v>
      </c>
      <c r="BE8" s="18" t="s">
        <v>163</v>
      </c>
      <c r="BF8" s="18" t="s">
        <v>164</v>
      </c>
      <c r="CA8" t="s">
        <v>76</v>
      </c>
      <c r="CB8" t="s">
        <v>86</v>
      </c>
      <c r="CC8" t="s">
        <v>87</v>
      </c>
      <c r="CD8" t="s">
        <v>88</v>
      </c>
      <c r="CE8" t="s">
        <v>89</v>
      </c>
    </row>
    <row r="9" spans="1:83" ht="12.75">
      <c r="A9">
        <v>5</v>
      </c>
      <c r="B9" t="b">
        <v>0</v>
      </c>
      <c r="C9">
        <v>0</v>
      </c>
      <c r="D9" t="s">
        <v>70</v>
      </c>
      <c r="E9">
        <f>'Input paramaters &amp; Outputs'!$F$25</f>
        <v>1.31</v>
      </c>
      <c r="F9" t="s">
        <v>100</v>
      </c>
      <c r="G9" t="s">
        <v>78</v>
      </c>
      <c r="H9" s="18" t="s">
        <v>85</v>
      </c>
      <c r="I9" s="18" t="s">
        <v>77</v>
      </c>
      <c r="J9" s="18" t="s">
        <v>73</v>
      </c>
      <c r="K9" s="18" t="s">
        <v>73</v>
      </c>
      <c r="L9" s="18" t="s">
        <v>130</v>
      </c>
      <c r="M9">
        <v>5</v>
      </c>
      <c r="N9" t="b">
        <v>1</v>
      </c>
      <c r="O9" t="b">
        <v>0</v>
      </c>
      <c r="P9">
        <v>1</v>
      </c>
      <c r="Q9">
        <v>0</v>
      </c>
      <c r="R9">
        <v>1</v>
      </c>
      <c r="S9">
        <v>0</v>
      </c>
      <c r="T9" t="s">
        <v>101</v>
      </c>
      <c r="U9" s="18" t="s">
        <v>130</v>
      </c>
      <c r="W9">
        <v>0</v>
      </c>
      <c r="X9">
        <v>0</v>
      </c>
      <c r="Y9">
        <v>0</v>
      </c>
      <c r="Z9">
        <v>1</v>
      </c>
      <c r="AA9" t="b">
        <v>1</v>
      </c>
      <c r="AC9" s="18" t="s">
        <v>74</v>
      </c>
      <c r="AD9" s="18" t="s">
        <v>79</v>
      </c>
      <c r="AE9" s="18" t="s">
        <v>80</v>
      </c>
      <c r="AF9" s="18" t="s">
        <v>81</v>
      </c>
      <c r="AG9" s="18" t="s">
        <v>82</v>
      </c>
      <c r="BB9" s="18" t="s">
        <v>138</v>
      </c>
      <c r="BC9" s="18" t="s">
        <v>139</v>
      </c>
      <c r="BD9" s="18" t="s">
        <v>140</v>
      </c>
      <c r="BE9" s="18" t="s">
        <v>141</v>
      </c>
      <c r="BF9" s="18" t="s">
        <v>142</v>
      </c>
      <c r="CA9" t="s">
        <v>76</v>
      </c>
      <c r="CB9" t="s">
        <v>86</v>
      </c>
      <c r="CC9" t="s">
        <v>87</v>
      </c>
      <c r="CD9" t="s">
        <v>88</v>
      </c>
      <c r="CE9" t="s">
        <v>89</v>
      </c>
    </row>
    <row r="10" spans="1:83" ht="12.75">
      <c r="A10">
        <v>6</v>
      </c>
      <c r="B10" t="b">
        <v>0</v>
      </c>
      <c r="C10">
        <v>0</v>
      </c>
      <c r="D10" t="s">
        <v>70</v>
      </c>
      <c r="E10">
        <f>'Input paramaters &amp; Outputs'!$F$27</f>
        <v>0.4</v>
      </c>
      <c r="F10" t="s">
        <v>102</v>
      </c>
      <c r="G10" t="s">
        <v>78</v>
      </c>
      <c r="H10" s="18" t="s">
        <v>85</v>
      </c>
      <c r="I10" s="18" t="s">
        <v>77</v>
      </c>
      <c r="J10" s="18" t="s">
        <v>73</v>
      </c>
      <c r="K10" s="18" t="s">
        <v>73</v>
      </c>
      <c r="L10" s="18" t="s">
        <v>104</v>
      </c>
      <c r="M10">
        <v>5</v>
      </c>
      <c r="N10" t="b">
        <v>1</v>
      </c>
      <c r="O10" t="b">
        <v>0</v>
      </c>
      <c r="P10">
        <v>1</v>
      </c>
      <c r="Q10">
        <v>0</v>
      </c>
      <c r="R10">
        <v>1</v>
      </c>
      <c r="S10">
        <v>0</v>
      </c>
      <c r="T10" t="s">
        <v>103</v>
      </c>
      <c r="U10" s="18" t="s">
        <v>104</v>
      </c>
      <c r="W10">
        <v>0</v>
      </c>
      <c r="X10">
        <v>0</v>
      </c>
      <c r="Y10">
        <v>0</v>
      </c>
      <c r="Z10">
        <v>1</v>
      </c>
      <c r="AA10" t="b">
        <v>1</v>
      </c>
      <c r="AC10" s="18" t="s">
        <v>74</v>
      </c>
      <c r="AD10" s="18" t="s">
        <v>79</v>
      </c>
      <c r="AE10" s="18" t="s">
        <v>80</v>
      </c>
      <c r="AF10" s="18" t="s">
        <v>81</v>
      </c>
      <c r="AG10" s="18" t="s">
        <v>82</v>
      </c>
      <c r="BB10" s="18" t="s">
        <v>105</v>
      </c>
      <c r="BC10" s="18" t="s">
        <v>106</v>
      </c>
      <c r="BD10" s="18" t="s">
        <v>104</v>
      </c>
      <c r="BE10" s="18" t="s">
        <v>107</v>
      </c>
      <c r="BF10" s="18" t="s">
        <v>108</v>
      </c>
      <c r="CA10" t="s">
        <v>76</v>
      </c>
      <c r="CB10" t="s">
        <v>86</v>
      </c>
      <c r="CC10" t="s">
        <v>87</v>
      </c>
      <c r="CD10" t="s">
        <v>88</v>
      </c>
      <c r="CE10" t="s">
        <v>89</v>
      </c>
    </row>
    <row r="11" spans="1:83" ht="12.75">
      <c r="A11">
        <v>7</v>
      </c>
      <c r="B11" t="b">
        <v>0</v>
      </c>
      <c r="C11">
        <v>0</v>
      </c>
      <c r="D11" t="s">
        <v>70</v>
      </c>
      <c r="E11">
        <f>'Input paramaters &amp; Outputs'!$F$28</f>
        <v>0.16</v>
      </c>
      <c r="F11" t="s">
        <v>109</v>
      </c>
      <c r="G11" t="s">
        <v>78</v>
      </c>
      <c r="H11" s="18" t="s">
        <v>85</v>
      </c>
      <c r="I11" s="18" t="s">
        <v>77</v>
      </c>
      <c r="J11" s="18" t="s">
        <v>73</v>
      </c>
      <c r="K11" s="18" t="s">
        <v>73</v>
      </c>
      <c r="L11" s="18" t="s">
        <v>111</v>
      </c>
      <c r="M11">
        <v>5</v>
      </c>
      <c r="N11" t="b">
        <v>1</v>
      </c>
      <c r="O11" t="b">
        <v>0</v>
      </c>
      <c r="P11">
        <v>1</v>
      </c>
      <c r="Q11">
        <v>0</v>
      </c>
      <c r="R11">
        <v>1</v>
      </c>
      <c r="S11">
        <v>0</v>
      </c>
      <c r="T11" t="s">
        <v>110</v>
      </c>
      <c r="U11" s="18" t="s">
        <v>111</v>
      </c>
      <c r="W11">
        <v>0</v>
      </c>
      <c r="X11">
        <v>0</v>
      </c>
      <c r="Y11">
        <v>0</v>
      </c>
      <c r="Z11">
        <v>1</v>
      </c>
      <c r="AA11" t="b">
        <v>1</v>
      </c>
      <c r="AC11" s="18" t="s">
        <v>74</v>
      </c>
      <c r="AD11" s="18" t="s">
        <v>79</v>
      </c>
      <c r="AE11" s="18" t="s">
        <v>80</v>
      </c>
      <c r="AF11" s="18" t="s">
        <v>81</v>
      </c>
      <c r="AG11" s="18" t="s">
        <v>82</v>
      </c>
      <c r="BB11" s="18" t="s">
        <v>112</v>
      </c>
      <c r="BC11" s="18" t="s">
        <v>113</v>
      </c>
      <c r="BD11" s="18" t="s">
        <v>114</v>
      </c>
      <c r="BE11" s="18" t="s">
        <v>115</v>
      </c>
      <c r="BF11" s="18" t="s">
        <v>116</v>
      </c>
      <c r="CA11" t="s">
        <v>76</v>
      </c>
      <c r="CB11" t="s">
        <v>86</v>
      </c>
      <c r="CC11" t="s">
        <v>87</v>
      </c>
      <c r="CD11" t="s">
        <v>88</v>
      </c>
      <c r="CE11" t="s">
        <v>89</v>
      </c>
    </row>
    <row r="12" spans="1:83" ht="12.75">
      <c r="A12">
        <v>8</v>
      </c>
      <c r="B12" t="b">
        <v>0</v>
      </c>
      <c r="C12">
        <v>0</v>
      </c>
      <c r="D12" t="s">
        <v>70</v>
      </c>
      <c r="E12">
        <f>'Input paramaters &amp; Outputs'!$G$58</f>
        <v>0.11764705882352941</v>
      </c>
      <c r="F12" t="s">
        <v>121</v>
      </c>
      <c r="G12" t="s">
        <v>78</v>
      </c>
      <c r="H12" s="18" t="s">
        <v>72</v>
      </c>
      <c r="I12" s="18" t="s">
        <v>77</v>
      </c>
      <c r="J12" s="18" t="s">
        <v>73</v>
      </c>
      <c r="K12" s="18" t="s">
        <v>73</v>
      </c>
      <c r="L12" s="18" t="s">
        <v>132</v>
      </c>
      <c r="M12">
        <v>5</v>
      </c>
      <c r="N12" t="b">
        <v>1</v>
      </c>
      <c r="O12" t="b">
        <v>1</v>
      </c>
      <c r="P12">
        <v>1</v>
      </c>
      <c r="Q12">
        <v>0</v>
      </c>
      <c r="R12">
        <v>1</v>
      </c>
      <c r="S12">
        <v>5</v>
      </c>
      <c r="T12" t="s">
        <v>122</v>
      </c>
      <c r="U12" s="18" t="s">
        <v>123</v>
      </c>
      <c r="V12" t="s">
        <v>131</v>
      </c>
      <c r="W12">
        <v>38</v>
      </c>
      <c r="X12">
        <v>75</v>
      </c>
      <c r="Y12">
        <v>0</v>
      </c>
      <c r="Z12">
        <v>1</v>
      </c>
      <c r="AA12" t="b">
        <v>1</v>
      </c>
      <c r="AC12" s="18" t="s">
        <v>74</v>
      </c>
      <c r="AD12" s="18" t="s">
        <v>79</v>
      </c>
      <c r="AE12" s="18" t="s">
        <v>80</v>
      </c>
      <c r="AF12" s="18" t="s">
        <v>81</v>
      </c>
      <c r="AG12" s="18" t="s">
        <v>82</v>
      </c>
      <c r="BB12" s="18" t="s">
        <v>124</v>
      </c>
      <c r="BC12" s="18" t="s">
        <v>125</v>
      </c>
      <c r="BD12" s="18" t="s">
        <v>126</v>
      </c>
      <c r="BE12" s="18" t="s">
        <v>127</v>
      </c>
      <c r="BF12" s="18" t="s">
        <v>128</v>
      </c>
      <c r="CA12" t="s">
        <v>76</v>
      </c>
      <c r="CB12" t="s">
        <v>86</v>
      </c>
      <c r="CC12" t="s">
        <v>87</v>
      </c>
      <c r="CD12" t="s">
        <v>88</v>
      </c>
      <c r="CE12" t="s">
        <v>89</v>
      </c>
    </row>
    <row r="13" spans="1:83" ht="12.75">
      <c r="A13">
        <v>9</v>
      </c>
      <c r="B13" t="b">
        <v>0</v>
      </c>
      <c r="C13">
        <v>0</v>
      </c>
      <c r="D13" t="s">
        <v>70</v>
      </c>
      <c r="E13">
        <f>'Input paramaters &amp; Outputs'!$F$29</f>
        <v>0.07</v>
      </c>
      <c r="F13" t="s">
        <v>143</v>
      </c>
      <c r="G13" t="s">
        <v>78</v>
      </c>
      <c r="H13" s="18" t="s">
        <v>85</v>
      </c>
      <c r="I13" s="18" t="s">
        <v>146</v>
      </c>
      <c r="J13" s="18" t="s">
        <v>73</v>
      </c>
      <c r="K13" s="18" t="s">
        <v>73</v>
      </c>
      <c r="L13" s="18" t="s">
        <v>145</v>
      </c>
      <c r="M13">
        <v>5</v>
      </c>
      <c r="N13" t="b">
        <v>1</v>
      </c>
      <c r="O13" t="b">
        <v>0</v>
      </c>
      <c r="P13">
        <v>1</v>
      </c>
      <c r="Q13">
        <v>0</v>
      </c>
      <c r="R13">
        <v>1</v>
      </c>
      <c r="S13">
        <v>0</v>
      </c>
      <c r="T13" t="s">
        <v>144</v>
      </c>
      <c r="U13" s="18" t="s">
        <v>145</v>
      </c>
      <c r="W13">
        <v>0</v>
      </c>
      <c r="X13">
        <v>0</v>
      </c>
      <c r="Y13">
        <v>0</v>
      </c>
      <c r="Z13">
        <v>1</v>
      </c>
      <c r="AA13" t="b">
        <v>1</v>
      </c>
      <c r="AC13" s="18" t="s">
        <v>74</v>
      </c>
      <c r="AD13" s="18" t="s">
        <v>79</v>
      </c>
      <c r="AE13" s="18" t="s">
        <v>80</v>
      </c>
      <c r="AF13" s="18" t="s">
        <v>81</v>
      </c>
      <c r="AG13" s="18" t="s">
        <v>82</v>
      </c>
      <c r="BB13" s="18" t="s">
        <v>147</v>
      </c>
      <c r="BC13" s="18" t="s">
        <v>148</v>
      </c>
      <c r="BD13" s="18" t="s">
        <v>149</v>
      </c>
      <c r="BE13" s="18" t="s">
        <v>150</v>
      </c>
      <c r="BF13" s="18" t="s">
        <v>151</v>
      </c>
      <c r="CA13" t="s">
        <v>76</v>
      </c>
      <c r="CB13" t="s">
        <v>86</v>
      </c>
      <c r="CC13" t="s">
        <v>87</v>
      </c>
      <c r="CD13" t="s">
        <v>88</v>
      </c>
      <c r="CE13" t="s">
        <v>89</v>
      </c>
    </row>
    <row r="14" spans="1:83" ht="12.75">
      <c r="A14">
        <v>10</v>
      </c>
      <c r="B14" t="b">
        <v>1</v>
      </c>
      <c r="C14">
        <v>0</v>
      </c>
      <c r="D14" t="s">
        <v>70</v>
      </c>
      <c r="E14">
        <f>'Input paramaters &amp; Outputs'!$G$13</f>
        <v>68</v>
      </c>
      <c r="F14" t="s">
        <v>165</v>
      </c>
      <c r="G14" t="s">
        <v>78</v>
      </c>
      <c r="H14" s="18" t="s">
        <v>85</v>
      </c>
      <c r="I14" s="18" t="s">
        <v>146</v>
      </c>
      <c r="J14" s="18" t="s">
        <v>73</v>
      </c>
      <c r="K14" s="18" t="s">
        <v>73</v>
      </c>
      <c r="L14" s="18" t="s">
        <v>167</v>
      </c>
      <c r="M14">
        <v>5</v>
      </c>
      <c r="N14" t="b">
        <v>1</v>
      </c>
      <c r="O14" t="b">
        <v>0</v>
      </c>
      <c r="P14">
        <v>1</v>
      </c>
      <c r="Q14">
        <v>0</v>
      </c>
      <c r="R14">
        <v>1</v>
      </c>
      <c r="S14">
        <v>0</v>
      </c>
      <c r="T14" t="s">
        <v>16</v>
      </c>
      <c r="U14" s="18" t="s">
        <v>166</v>
      </c>
      <c r="W14">
        <v>0</v>
      </c>
      <c r="X14">
        <v>0</v>
      </c>
      <c r="Y14">
        <v>0</v>
      </c>
      <c r="Z14">
        <v>1</v>
      </c>
      <c r="AA14" t="b">
        <v>1</v>
      </c>
      <c r="AC14" s="18" t="s">
        <v>74</v>
      </c>
      <c r="AD14" s="18" t="s">
        <v>79</v>
      </c>
      <c r="AE14" s="18" t="s">
        <v>80</v>
      </c>
      <c r="AF14" s="18" t="s">
        <v>81</v>
      </c>
      <c r="AG14" s="18" t="s">
        <v>82</v>
      </c>
      <c r="BB14" s="18" t="s">
        <v>168</v>
      </c>
      <c r="BC14" s="18" t="s">
        <v>169</v>
      </c>
      <c r="BD14" s="18" t="s">
        <v>167</v>
      </c>
      <c r="BE14" s="18" t="s">
        <v>170</v>
      </c>
      <c r="BF14" s="18" t="s">
        <v>171</v>
      </c>
      <c r="CA14" t="s">
        <v>76</v>
      </c>
      <c r="CB14" t="s">
        <v>86</v>
      </c>
      <c r="CC14" t="s">
        <v>87</v>
      </c>
      <c r="CD14" t="s">
        <v>88</v>
      </c>
      <c r="CE14" t="s">
        <v>89</v>
      </c>
    </row>
    <row r="15" spans="1:83" ht="12.75">
      <c r="A15">
        <v>11</v>
      </c>
      <c r="B15" t="b">
        <v>0</v>
      </c>
      <c r="C15">
        <v>0</v>
      </c>
      <c r="D15" t="s">
        <v>70</v>
      </c>
      <c r="E15">
        <f>'Input paramaters &amp; Outputs'!$G$14</f>
        <v>1224</v>
      </c>
      <c r="F15" t="s">
        <v>172</v>
      </c>
      <c r="G15" t="s">
        <v>78</v>
      </c>
      <c r="H15" s="18" t="s">
        <v>85</v>
      </c>
      <c r="I15" s="18" t="s">
        <v>146</v>
      </c>
      <c r="J15" s="18" t="s">
        <v>73</v>
      </c>
      <c r="K15" s="18" t="s">
        <v>73</v>
      </c>
      <c r="L15" s="18" t="s">
        <v>174</v>
      </c>
      <c r="M15">
        <v>5</v>
      </c>
      <c r="N15" t="b">
        <v>1</v>
      </c>
      <c r="O15" t="b">
        <v>0</v>
      </c>
      <c r="P15">
        <v>1</v>
      </c>
      <c r="Q15">
        <v>0</v>
      </c>
      <c r="R15">
        <v>1</v>
      </c>
      <c r="S15">
        <v>0</v>
      </c>
      <c r="T15" t="s">
        <v>17</v>
      </c>
      <c r="U15" s="18" t="s">
        <v>173</v>
      </c>
      <c r="W15">
        <v>0</v>
      </c>
      <c r="X15">
        <v>0</v>
      </c>
      <c r="Y15">
        <v>0</v>
      </c>
      <c r="Z15">
        <v>1</v>
      </c>
      <c r="AA15" t="b">
        <v>1</v>
      </c>
      <c r="AC15" s="18" t="s">
        <v>74</v>
      </c>
      <c r="AD15" s="18" t="s">
        <v>79</v>
      </c>
      <c r="AE15" s="18" t="s">
        <v>80</v>
      </c>
      <c r="AF15" s="18" t="s">
        <v>81</v>
      </c>
      <c r="AG15" s="18" t="s">
        <v>82</v>
      </c>
      <c r="BB15" s="18" t="s">
        <v>175</v>
      </c>
      <c r="BC15" s="18" t="s">
        <v>176</v>
      </c>
      <c r="BD15" s="18" t="s">
        <v>174</v>
      </c>
      <c r="BE15" s="18" t="s">
        <v>177</v>
      </c>
      <c r="BF15" s="18" t="s">
        <v>178</v>
      </c>
      <c r="CA15" t="s">
        <v>76</v>
      </c>
      <c r="CB15" t="s">
        <v>86</v>
      </c>
      <c r="CC15" t="s">
        <v>87</v>
      </c>
      <c r="CD15" t="s">
        <v>88</v>
      </c>
      <c r="CE15" t="s">
        <v>89</v>
      </c>
    </row>
    <row r="16" spans="1:83" ht="12.75">
      <c r="A16">
        <v>12</v>
      </c>
      <c r="B16" t="b">
        <v>1</v>
      </c>
      <c r="C16">
        <v>0</v>
      </c>
      <c r="D16" t="s">
        <v>70</v>
      </c>
      <c r="E16">
        <f>'Input paramaters &amp; Outputs'!$G$15</f>
        <v>102</v>
      </c>
      <c r="F16" t="s">
        <v>179</v>
      </c>
      <c r="G16" t="s">
        <v>78</v>
      </c>
      <c r="H16" s="18" t="s">
        <v>85</v>
      </c>
      <c r="I16" s="18" t="s">
        <v>146</v>
      </c>
      <c r="J16" s="18" t="s">
        <v>73</v>
      </c>
      <c r="K16" s="18" t="s">
        <v>73</v>
      </c>
      <c r="L16" s="18" t="s">
        <v>171</v>
      </c>
      <c r="M16">
        <v>5</v>
      </c>
      <c r="N16" t="b">
        <v>1</v>
      </c>
      <c r="O16" t="b">
        <v>0</v>
      </c>
      <c r="P16">
        <v>1</v>
      </c>
      <c r="Q16">
        <v>0</v>
      </c>
      <c r="R16">
        <v>1</v>
      </c>
      <c r="S16">
        <v>0</v>
      </c>
      <c r="T16" t="s">
        <v>18</v>
      </c>
      <c r="U16" s="18" t="s">
        <v>180</v>
      </c>
      <c r="W16">
        <v>0</v>
      </c>
      <c r="X16">
        <v>0</v>
      </c>
      <c r="Y16">
        <v>0</v>
      </c>
      <c r="Z16">
        <v>1</v>
      </c>
      <c r="AA16" t="b">
        <v>1</v>
      </c>
      <c r="AC16" s="18" t="s">
        <v>74</v>
      </c>
      <c r="AD16" s="18" t="s">
        <v>79</v>
      </c>
      <c r="AE16" s="18" t="s">
        <v>80</v>
      </c>
      <c r="AF16" s="18" t="s">
        <v>81</v>
      </c>
      <c r="AG16" s="18" t="s">
        <v>82</v>
      </c>
      <c r="BB16" s="18" t="s">
        <v>169</v>
      </c>
      <c r="BC16" s="18" t="s">
        <v>181</v>
      </c>
      <c r="BD16" s="18" t="s">
        <v>171</v>
      </c>
      <c r="BE16" s="18" t="s">
        <v>182</v>
      </c>
      <c r="BF16" s="18" t="s">
        <v>183</v>
      </c>
      <c r="CA16" t="s">
        <v>76</v>
      </c>
      <c r="CB16" t="s">
        <v>86</v>
      </c>
      <c r="CC16" t="s">
        <v>87</v>
      </c>
      <c r="CD16" t="s">
        <v>88</v>
      </c>
      <c r="CE16" t="s">
        <v>89</v>
      </c>
    </row>
    <row r="17" spans="1:83" ht="12.75">
      <c r="A17">
        <v>13</v>
      </c>
      <c r="B17" t="b">
        <v>0</v>
      </c>
      <c r="C17">
        <v>0</v>
      </c>
      <c r="D17" t="s">
        <v>70</v>
      </c>
      <c r="E17">
        <f>'Input paramaters &amp; Outputs'!$G$79</f>
        <v>10</v>
      </c>
      <c r="F17" t="s">
        <v>184</v>
      </c>
      <c r="G17" t="s">
        <v>78</v>
      </c>
      <c r="H17" s="18" t="s">
        <v>85</v>
      </c>
      <c r="I17" s="18" t="s">
        <v>146</v>
      </c>
      <c r="J17" s="18" t="s">
        <v>73</v>
      </c>
      <c r="K17" s="18" t="s">
        <v>73</v>
      </c>
      <c r="L17" s="18" t="s">
        <v>187</v>
      </c>
      <c r="M17">
        <v>5</v>
      </c>
      <c r="N17" t="b">
        <v>1</v>
      </c>
      <c r="O17" t="b">
        <v>0</v>
      </c>
      <c r="P17">
        <v>1</v>
      </c>
      <c r="Q17">
        <v>0</v>
      </c>
      <c r="R17">
        <v>1</v>
      </c>
      <c r="S17">
        <v>0</v>
      </c>
      <c r="T17" t="s">
        <v>185</v>
      </c>
      <c r="U17" s="18" t="s">
        <v>186</v>
      </c>
      <c r="W17">
        <v>0</v>
      </c>
      <c r="X17">
        <v>0</v>
      </c>
      <c r="Y17">
        <v>0</v>
      </c>
      <c r="Z17">
        <v>1</v>
      </c>
      <c r="AA17" t="b">
        <v>1</v>
      </c>
      <c r="AC17" s="18" t="s">
        <v>74</v>
      </c>
      <c r="AD17" s="18" t="s">
        <v>79</v>
      </c>
      <c r="AE17" s="18" t="s">
        <v>80</v>
      </c>
      <c r="AF17" s="18" t="s">
        <v>81</v>
      </c>
      <c r="AG17" s="18" t="s">
        <v>82</v>
      </c>
      <c r="BB17" s="18" t="s">
        <v>107</v>
      </c>
      <c r="BC17" s="18" t="s">
        <v>188</v>
      </c>
      <c r="BD17" s="18" t="s">
        <v>187</v>
      </c>
      <c r="BE17" s="18" t="s">
        <v>189</v>
      </c>
      <c r="BF17" s="18" t="s">
        <v>190</v>
      </c>
      <c r="CA17" t="s">
        <v>76</v>
      </c>
      <c r="CB17" t="s">
        <v>86</v>
      </c>
      <c r="CC17" t="s">
        <v>87</v>
      </c>
      <c r="CD17" t="s">
        <v>88</v>
      </c>
      <c r="CE17" t="s">
        <v>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120</v>
      </c>
      <c r="B1">
        <v>3</v>
      </c>
    </row>
    <row r="2" ht="12.75">
      <c r="A2" t="str">
        <f>_XLL.FITLINK('Input paramaters &amp; Outputs'!#REF!,63921,83392,1)</f>
        <v>_63921_83392_1</v>
      </c>
    </row>
    <row r="3" ht="12.75">
      <c r="A3" t="str">
        <f>_XLL.FITLINK('Input paramaters &amp; Outputs'!#REF!,63921,63301,1)</f>
        <v>_63921_63301_1</v>
      </c>
    </row>
    <row r="4" ht="12.75">
      <c r="A4" t="str">
        <f>_XLL.FITLINK('Input paramaters &amp; Outputs'!#REF!,63921,36980,1)</f>
        <v>_63921_36980_1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24.7109375" style="0" customWidth="1"/>
    <col min="2" max="2" width="7.140625" style="0" customWidth="1"/>
    <col min="3" max="3" width="8.140625" style="0" customWidth="1"/>
    <col min="4" max="4" width="6.28125" style="0" customWidth="1"/>
    <col min="5" max="5" width="8.140625" style="0" customWidth="1"/>
    <col min="6" max="6" width="9.28125" style="0" bestFit="1" customWidth="1"/>
    <col min="7" max="7" width="12.421875" style="0" bestFit="1" customWidth="1"/>
    <col min="8" max="8" width="11.00390625" style="0" customWidth="1"/>
    <col min="9" max="9" width="10.8515625" style="0" customWidth="1"/>
  </cols>
  <sheetData>
    <row r="1" spans="1:9" s="85" customFormat="1" ht="18.75" customHeight="1">
      <c r="A1" s="93" t="s">
        <v>262</v>
      </c>
      <c r="I1" s="1"/>
    </row>
    <row r="2" spans="1:9" s="85" customFormat="1" ht="15.75" customHeight="1">
      <c r="A2" s="86" t="s">
        <v>261</v>
      </c>
      <c r="B2"/>
      <c r="C2"/>
      <c r="D2"/>
      <c r="E2"/>
      <c r="F2"/>
      <c r="G2"/>
      <c r="I2" s="1"/>
    </row>
    <row r="3" spans="1:9" s="91" customFormat="1" ht="13.5" customHeight="1">
      <c r="A3" s="90" t="s">
        <v>258</v>
      </c>
      <c r="I3" s="92"/>
    </row>
    <row r="4" spans="1:9" s="91" customFormat="1" ht="13.5" customHeight="1">
      <c r="A4" s="90" t="s">
        <v>259</v>
      </c>
      <c r="I4" s="92"/>
    </row>
    <row r="5" spans="1:9" s="91" customFormat="1" ht="13.5" customHeight="1">
      <c r="A5" s="90" t="s">
        <v>260</v>
      </c>
      <c r="I5" s="92"/>
    </row>
    <row r="6" spans="1:9" s="91" customFormat="1" ht="13.5" customHeight="1">
      <c r="A6" s="89" t="s">
        <v>257</v>
      </c>
      <c r="I6" s="92"/>
    </row>
    <row r="7" spans="1:9" s="85" customFormat="1" ht="12" customHeight="1">
      <c r="A7" s="86"/>
      <c r="B7" s="87"/>
      <c r="C7" s="87"/>
      <c r="D7" s="87"/>
      <c r="E7" s="87"/>
      <c r="F7" s="87"/>
      <c r="G7" s="87"/>
      <c r="H7" s="87"/>
      <c r="I7" s="1"/>
    </row>
    <row r="8" spans="1:9" s="85" customFormat="1" ht="15.75" customHeight="1">
      <c r="A8" s="88" t="s">
        <v>255</v>
      </c>
      <c r="I8" s="1"/>
    </row>
    <row r="9" spans="1:9" s="85" customFormat="1" ht="10.5" customHeight="1">
      <c r="A9" s="88"/>
      <c r="I9" s="1"/>
    </row>
    <row r="10" spans="1:9" ht="15.75" customHeight="1">
      <c r="A10" s="97" t="s">
        <v>256</v>
      </c>
      <c r="I10" s="1"/>
    </row>
    <row r="11" spans="1:9" ht="12" customHeight="1">
      <c r="A11" s="84"/>
      <c r="I11" s="1"/>
    </row>
    <row r="12" spans="1:9" ht="40.5" customHeight="1">
      <c r="A12" s="94" t="s">
        <v>232</v>
      </c>
      <c r="B12" s="94"/>
      <c r="C12" s="94"/>
      <c r="D12" s="94"/>
      <c r="E12" s="95"/>
      <c r="F12" s="96" t="s">
        <v>202</v>
      </c>
      <c r="G12" s="96" t="s">
        <v>201</v>
      </c>
      <c r="H12" s="96" t="s">
        <v>239</v>
      </c>
      <c r="I12" s="95" t="s">
        <v>200</v>
      </c>
    </row>
    <row r="13" spans="1:9" ht="14.25" customHeight="1">
      <c r="A13" s="17" t="s">
        <v>15</v>
      </c>
      <c r="B13" s="24"/>
      <c r="C13" s="24"/>
      <c r="D13" s="24"/>
      <c r="E13" s="25" t="s">
        <v>16</v>
      </c>
      <c r="F13" s="26">
        <v>68</v>
      </c>
      <c r="G13" s="27">
        <f>IF(H13=0,I13,F13)</f>
        <v>68</v>
      </c>
      <c r="H13" s="28">
        <v>1</v>
      </c>
      <c r="I13" s="29"/>
    </row>
    <row r="14" spans="1:9" ht="12.75">
      <c r="A14" s="30" t="s">
        <v>197</v>
      </c>
      <c r="B14" s="14"/>
      <c r="C14" s="14"/>
      <c r="D14" s="14"/>
      <c r="E14" s="31" t="s">
        <v>17</v>
      </c>
      <c r="F14" s="32">
        <v>1224</v>
      </c>
      <c r="G14" s="33">
        <f>IF(H14=0,I14,F14)</f>
        <v>1224</v>
      </c>
      <c r="H14" s="34">
        <v>1</v>
      </c>
      <c r="I14" s="35"/>
    </row>
    <row r="15" spans="1:9" ht="12.75">
      <c r="A15" s="30" t="s">
        <v>196</v>
      </c>
      <c r="B15" s="14"/>
      <c r="C15" s="14"/>
      <c r="D15" s="14"/>
      <c r="E15" s="31" t="s">
        <v>18</v>
      </c>
      <c r="F15" s="36">
        <f>612/60*(1/pr)</f>
        <v>102</v>
      </c>
      <c r="G15" s="33">
        <f>IF(H15=0,I15,F15)</f>
        <v>102</v>
      </c>
      <c r="H15" s="34">
        <v>1</v>
      </c>
      <c r="I15" s="35"/>
    </row>
    <row r="16" spans="1:9" ht="12.75">
      <c r="A16" s="30" t="s">
        <v>195</v>
      </c>
      <c r="B16" s="14"/>
      <c r="C16" s="14"/>
      <c r="D16" s="14"/>
      <c r="E16" s="31" t="s">
        <v>117</v>
      </c>
      <c r="F16" s="14"/>
      <c r="G16" s="33">
        <f>IF(H16=0,I16,_XLL.RISKPERT(F17,F18,F19,_XLL.RISKCOLLECT()))</f>
        <v>51.666666666666664</v>
      </c>
      <c r="H16" s="34">
        <v>1</v>
      </c>
      <c r="I16" s="35"/>
    </row>
    <row r="17" spans="1:9" ht="12.75">
      <c r="A17" s="30"/>
      <c r="B17" s="14"/>
      <c r="C17" s="14"/>
      <c r="D17" s="14"/>
      <c r="E17" s="37" t="s">
        <v>198</v>
      </c>
      <c r="F17" s="36">
        <v>10</v>
      </c>
      <c r="G17" s="14"/>
      <c r="H17" s="14"/>
      <c r="I17" s="38"/>
    </row>
    <row r="18" spans="1:9" ht="12.75">
      <c r="A18" s="30"/>
      <c r="B18" s="14"/>
      <c r="C18" s="14"/>
      <c r="D18" s="14"/>
      <c r="E18" s="37" t="s">
        <v>0</v>
      </c>
      <c r="F18" s="36">
        <v>50</v>
      </c>
      <c r="G18" s="14"/>
      <c r="H18" s="14"/>
      <c r="I18" s="38"/>
    </row>
    <row r="19" spans="1:9" ht="12.75">
      <c r="A19" s="39"/>
      <c r="B19" s="40"/>
      <c r="C19" s="40"/>
      <c r="D19" s="40"/>
      <c r="E19" s="41" t="s">
        <v>199</v>
      </c>
      <c r="F19" s="42">
        <v>100</v>
      </c>
      <c r="G19" s="40"/>
      <c r="H19" s="40"/>
      <c r="I19" s="43"/>
    </row>
    <row r="20" ht="12.75">
      <c r="I20" s="1"/>
    </row>
    <row r="21" spans="1:9" ht="12.75">
      <c r="A21" s="44" t="s">
        <v>203</v>
      </c>
      <c r="B21" s="25"/>
      <c r="C21" s="25"/>
      <c r="D21" s="25"/>
      <c r="E21" s="24"/>
      <c r="F21" s="24"/>
      <c r="G21" s="24"/>
      <c r="H21" s="24"/>
      <c r="I21" s="45"/>
    </row>
    <row r="22" spans="1:9" ht="12.75">
      <c r="A22" s="30" t="s">
        <v>207</v>
      </c>
      <c r="B22" s="14"/>
      <c r="C22" s="14"/>
      <c r="D22" s="14"/>
      <c r="E22" s="31" t="s">
        <v>1</v>
      </c>
      <c r="F22" s="32">
        <v>1.91</v>
      </c>
      <c r="G22" s="46">
        <f>IF(H22=0,I22,F22)</f>
        <v>1.91</v>
      </c>
      <c r="H22" s="34">
        <v>1</v>
      </c>
      <c r="I22" s="47"/>
    </row>
    <row r="23" spans="1:9" ht="12.75">
      <c r="A23" s="30" t="s">
        <v>204</v>
      </c>
      <c r="B23" s="14"/>
      <c r="C23" s="14"/>
      <c r="D23" s="14"/>
      <c r="E23" s="31" t="s">
        <v>3</v>
      </c>
      <c r="F23" s="32">
        <v>5.36</v>
      </c>
      <c r="G23" s="46">
        <f aca="true" t="shared" si="0" ref="G23:G29">IF(H23=0,I23,F23)</f>
        <v>5.36</v>
      </c>
      <c r="H23" s="34">
        <v>1</v>
      </c>
      <c r="I23" s="47"/>
    </row>
    <row r="24" spans="1:9" ht="12.75">
      <c r="A24" s="30" t="s">
        <v>205</v>
      </c>
      <c r="B24" s="14"/>
      <c r="C24" s="14"/>
      <c r="D24" s="14"/>
      <c r="E24" s="31" t="s">
        <v>5</v>
      </c>
      <c r="F24" s="32">
        <v>1.2</v>
      </c>
      <c r="G24" s="46">
        <f t="shared" si="0"/>
        <v>1.2</v>
      </c>
      <c r="H24" s="34">
        <v>1</v>
      </c>
      <c r="I24" s="47"/>
    </row>
    <row r="25" spans="1:9" ht="12.75">
      <c r="A25" s="30" t="s">
        <v>206</v>
      </c>
      <c r="B25" s="14"/>
      <c r="C25" s="14"/>
      <c r="D25" s="14"/>
      <c r="E25" s="31" t="s">
        <v>7</v>
      </c>
      <c r="F25" s="32">
        <v>1.31</v>
      </c>
      <c r="G25" s="46">
        <f t="shared" si="0"/>
        <v>1.31</v>
      </c>
      <c r="H25" s="34">
        <v>1</v>
      </c>
      <c r="I25" s="47"/>
    </row>
    <row r="26" spans="1:9" ht="12.75">
      <c r="A26" s="30" t="s">
        <v>208</v>
      </c>
      <c r="B26" s="14"/>
      <c r="C26" s="14"/>
      <c r="D26" s="14"/>
      <c r="E26" s="31" t="s">
        <v>9</v>
      </c>
      <c r="F26" s="32">
        <v>10.02</v>
      </c>
      <c r="G26" s="46">
        <f t="shared" si="0"/>
        <v>10.02</v>
      </c>
      <c r="H26" s="34">
        <v>1</v>
      </c>
      <c r="I26" s="47"/>
    </row>
    <row r="27" spans="1:9" ht="12.75">
      <c r="A27" s="30" t="s">
        <v>209</v>
      </c>
      <c r="B27" s="14"/>
      <c r="C27" s="14"/>
      <c r="D27" s="14"/>
      <c r="E27" s="31" t="s">
        <v>11</v>
      </c>
      <c r="F27" s="32">
        <v>0.4</v>
      </c>
      <c r="G27" s="46">
        <f t="shared" si="0"/>
        <v>0.4</v>
      </c>
      <c r="H27" s="34">
        <v>1</v>
      </c>
      <c r="I27" s="47"/>
    </row>
    <row r="28" spans="1:9" ht="12.75">
      <c r="A28" s="30" t="s">
        <v>210</v>
      </c>
      <c r="B28" s="14"/>
      <c r="C28" s="14"/>
      <c r="D28" s="14"/>
      <c r="E28" s="31" t="s">
        <v>13</v>
      </c>
      <c r="F28" s="32">
        <v>0.16</v>
      </c>
      <c r="G28" s="46">
        <f t="shared" si="0"/>
        <v>0.16</v>
      </c>
      <c r="H28" s="34">
        <v>1</v>
      </c>
      <c r="I28" s="47"/>
    </row>
    <row r="29" spans="1:9" ht="12.75">
      <c r="A29" s="39" t="s">
        <v>211</v>
      </c>
      <c r="B29" s="40"/>
      <c r="C29" s="40"/>
      <c r="D29" s="40"/>
      <c r="E29" s="48" t="s">
        <v>42</v>
      </c>
      <c r="F29" s="49">
        <v>0.07</v>
      </c>
      <c r="G29" s="46">
        <f t="shared" si="0"/>
        <v>0.07</v>
      </c>
      <c r="H29" s="51">
        <v>1</v>
      </c>
      <c r="I29" s="47"/>
    </row>
    <row r="30" ht="12.75">
      <c r="I30" s="1"/>
    </row>
    <row r="31" spans="1:9" ht="12.75">
      <c r="A31" s="52" t="s">
        <v>237</v>
      </c>
      <c r="B31" s="53"/>
      <c r="C31" s="53"/>
      <c r="D31" s="53"/>
      <c r="E31" s="24"/>
      <c r="F31" s="24"/>
      <c r="G31" s="24"/>
      <c r="H31" s="24"/>
      <c r="I31" s="45"/>
    </row>
    <row r="32" spans="1:9" ht="12.75">
      <c r="A32" s="30" t="s">
        <v>240</v>
      </c>
      <c r="B32" s="14"/>
      <c r="C32" s="14"/>
      <c r="D32" s="14"/>
      <c r="E32" s="14"/>
      <c r="F32" s="14"/>
      <c r="G32" s="54">
        <f>_XLL.RISKOUTPUT("p(SG)")+1/(nFCS*nG)</f>
        <v>1.2014609765474818E-05</v>
      </c>
      <c r="H32" s="14"/>
      <c r="I32" s="38"/>
    </row>
    <row r="33" spans="1:9" ht="12.75">
      <c r="A33" s="30" t="s">
        <v>241</v>
      </c>
      <c r="B33" s="14"/>
      <c r="C33" s="14"/>
      <c r="D33" s="14"/>
      <c r="E33" s="14"/>
      <c r="F33" s="14"/>
      <c r="G33" s="54">
        <f>_XLL.RISKOUTPUT("p(FS)")+1/(nFP*nFCS)</f>
        <v>8.009739843649878E-06</v>
      </c>
      <c r="H33" s="14"/>
      <c r="I33" s="38"/>
    </row>
    <row r="34" spans="1:9" ht="12.75">
      <c r="A34" s="30" t="s">
        <v>242</v>
      </c>
      <c r="B34" s="14"/>
      <c r="C34" s="14"/>
      <c r="D34" s="14"/>
      <c r="E34" s="14"/>
      <c r="F34" s="14"/>
      <c r="G34" s="54">
        <f>_XLL.RISKOUTPUT("p(FG)")+1/(nG*nFP)</f>
        <v>0.0001441753171856978</v>
      </c>
      <c r="H34" s="14"/>
      <c r="I34" s="38"/>
    </row>
    <row r="35" spans="1:9" ht="12.75">
      <c r="A35" s="30" t="s">
        <v>243</v>
      </c>
      <c r="B35" s="14"/>
      <c r="C35" s="14"/>
      <c r="D35" s="14"/>
      <c r="E35" s="14"/>
      <c r="F35" s="14"/>
      <c r="G35" s="54">
        <f>_XLL.RISKOUTPUT("p(FF)")+1/(nFP*(nFP-1))</f>
        <v>9.706853038245001E-05</v>
      </c>
      <c r="H35" s="14"/>
      <c r="I35" s="38"/>
    </row>
    <row r="36" spans="1:9" ht="12.75">
      <c r="A36" s="39" t="s">
        <v>244</v>
      </c>
      <c r="B36" s="40"/>
      <c r="C36" s="40"/>
      <c r="D36" s="40"/>
      <c r="E36" s="40"/>
      <c r="F36" s="40"/>
      <c r="G36" s="55">
        <f>_XLL.RISKOUTPUT("p(GE)")+1/(nG*nE)</f>
        <v>0.00028462998102466797</v>
      </c>
      <c r="H36" s="40"/>
      <c r="I36" s="43"/>
    </row>
    <row r="37" ht="12.75">
      <c r="I37" s="1"/>
    </row>
    <row r="38" spans="1:9" ht="12.75">
      <c r="A38" s="44" t="s">
        <v>253</v>
      </c>
      <c r="B38" s="25"/>
      <c r="C38" s="25"/>
      <c r="D38" s="25"/>
      <c r="E38" s="24"/>
      <c r="F38" s="24"/>
      <c r="G38" s="24"/>
      <c r="H38" s="24"/>
      <c r="I38" s="45"/>
    </row>
    <row r="39" spans="1:9" ht="12.75">
      <c r="A39" s="30" t="s">
        <v>245</v>
      </c>
      <c r="B39" s="14"/>
      <c r="C39" s="14"/>
      <c r="D39" s="14"/>
      <c r="E39" s="31" t="s">
        <v>2</v>
      </c>
      <c r="F39" s="14"/>
      <c r="G39" s="54">
        <f>IF(C_FCS_G=0,0,(1/nFCS)*(1/nG)*C_FCS_G)</f>
        <v>2.29479046520569E-05</v>
      </c>
      <c r="H39" s="14"/>
      <c r="I39" s="38"/>
    </row>
    <row r="40" spans="1:9" ht="12.75">
      <c r="A40" s="30" t="s">
        <v>246</v>
      </c>
      <c r="B40" s="14"/>
      <c r="C40" s="14"/>
      <c r="D40" s="14"/>
      <c r="E40" s="31" t="s">
        <v>4</v>
      </c>
      <c r="F40" s="14"/>
      <c r="G40" s="54">
        <f>IF(C_G_FCS=0,0,1/(nG*nFCS)*C_G_FCS)</f>
        <v>6.439830834294502E-05</v>
      </c>
      <c r="H40" s="14"/>
      <c r="I40" s="38"/>
    </row>
    <row r="41" spans="1:9" ht="12.75">
      <c r="A41" s="30" t="s">
        <v>247</v>
      </c>
      <c r="B41" s="14"/>
      <c r="C41" s="14"/>
      <c r="D41" s="14"/>
      <c r="E41" s="31" t="s">
        <v>6</v>
      </c>
      <c r="F41" s="14"/>
      <c r="G41" s="54">
        <f>1/(nFP*nFCS)*C_FP_FCS</f>
        <v>9.611687812379853E-06</v>
      </c>
      <c r="H41" s="14"/>
      <c r="I41" s="38"/>
    </row>
    <row r="42" spans="1:9" ht="12.75">
      <c r="A42" s="30" t="s">
        <v>248</v>
      </c>
      <c r="B42" s="14"/>
      <c r="C42" s="14"/>
      <c r="D42" s="14"/>
      <c r="E42" s="31" t="s">
        <v>8</v>
      </c>
      <c r="F42" s="14"/>
      <c r="G42" s="54">
        <f>1/(nFCS*nFP)*C_FCS_FP</f>
        <v>1.0492759195181341E-05</v>
      </c>
      <c r="H42" s="14"/>
      <c r="I42" s="38"/>
    </row>
    <row r="43" spans="1:9" ht="12.75">
      <c r="A43" s="30" t="s">
        <v>249</v>
      </c>
      <c r="B43" s="14"/>
      <c r="C43" s="14"/>
      <c r="D43" s="14"/>
      <c r="E43" s="31" t="s">
        <v>10</v>
      </c>
      <c r="F43" s="14"/>
      <c r="G43" s="54">
        <f>1/(nG*nFP)*C_G_FP</f>
        <v>0.001444636678200692</v>
      </c>
      <c r="H43" s="14"/>
      <c r="I43" s="38"/>
    </row>
    <row r="44" spans="1:9" ht="12.75">
      <c r="A44" s="30" t="s">
        <v>250</v>
      </c>
      <c r="B44" s="14"/>
      <c r="C44" s="14"/>
      <c r="D44" s="14"/>
      <c r="E44" s="31" t="s">
        <v>12</v>
      </c>
      <c r="F44" s="14"/>
      <c r="G44" s="54">
        <f>1/(nFP*nG)*C_FP_G</f>
        <v>5.767012687427913E-05</v>
      </c>
      <c r="H44" s="14"/>
      <c r="I44" s="38"/>
    </row>
    <row r="45" spans="1:9" ht="12.75">
      <c r="A45" s="30" t="s">
        <v>251</v>
      </c>
      <c r="B45" s="14"/>
      <c r="C45" s="14"/>
      <c r="D45" s="14"/>
      <c r="E45" s="31" t="s">
        <v>14</v>
      </c>
      <c r="F45" s="14"/>
      <c r="G45" s="54">
        <f>1/(nFP*(nFP-1))*C_FP_FP</f>
        <v>1.5530964861192003E-05</v>
      </c>
      <c r="H45" s="14"/>
      <c r="I45" s="38"/>
    </row>
    <row r="46" spans="1:9" ht="12.75">
      <c r="A46" s="39" t="s">
        <v>252</v>
      </c>
      <c r="B46" s="40"/>
      <c r="C46" s="40"/>
      <c r="D46" s="40"/>
      <c r="E46" s="48" t="s">
        <v>43</v>
      </c>
      <c r="F46" s="40"/>
      <c r="G46" s="55">
        <f>1/(nG*nE)*C_G_E</f>
        <v>1.992409867172676E-05</v>
      </c>
      <c r="H46" s="40"/>
      <c r="I46" s="43"/>
    </row>
    <row r="47" ht="12.75">
      <c r="I47" s="1"/>
    </row>
    <row r="48" spans="1:9" ht="12.75">
      <c r="A48" s="44" t="s">
        <v>214</v>
      </c>
      <c r="B48" s="25"/>
      <c r="C48" s="25"/>
      <c r="D48" s="25"/>
      <c r="E48" s="24"/>
      <c r="F48" s="24"/>
      <c r="G48" s="24"/>
      <c r="H48" s="24"/>
      <c r="I48" s="45"/>
    </row>
    <row r="49" spans="1:9" ht="12.75">
      <c r="A49" s="17" t="s">
        <v>19</v>
      </c>
      <c r="B49" s="24"/>
      <c r="C49" s="24"/>
      <c r="D49" s="24"/>
      <c r="E49" s="25" t="s">
        <v>20</v>
      </c>
      <c r="F49" s="24"/>
      <c r="G49" s="64">
        <f>IF(H49=0,I49,_XLL.RISKBETA(F50+1,F51-F50+1,_XLL.RISKCOLLECT()))</f>
        <v>0.08571428571428572</v>
      </c>
      <c r="H49" s="28">
        <v>1</v>
      </c>
      <c r="I49" s="66"/>
    </row>
    <row r="50" spans="1:9" ht="12.75">
      <c r="A50" s="30"/>
      <c r="B50" s="14"/>
      <c r="C50" s="14"/>
      <c r="D50" s="14"/>
      <c r="E50" s="37" t="s">
        <v>212</v>
      </c>
      <c r="F50" s="32">
        <v>2</v>
      </c>
      <c r="G50" s="14"/>
      <c r="H50" s="14"/>
      <c r="I50" s="38"/>
    </row>
    <row r="51" spans="1:9" ht="12.75">
      <c r="A51" s="39"/>
      <c r="B51" s="40"/>
      <c r="C51" s="40"/>
      <c r="D51" s="40"/>
      <c r="E51" s="41" t="s">
        <v>213</v>
      </c>
      <c r="F51" s="49">
        <v>33</v>
      </c>
      <c r="G51" s="40"/>
      <c r="H51" s="40"/>
      <c r="I51" s="43"/>
    </row>
    <row r="52" spans="1:9" ht="12.75">
      <c r="A52" s="17" t="s">
        <v>215</v>
      </c>
      <c r="B52" s="24"/>
      <c r="C52" s="24"/>
      <c r="D52" s="24"/>
      <c r="E52" s="25" t="s">
        <v>23</v>
      </c>
      <c r="F52" s="24"/>
      <c r="G52" s="65">
        <f>IF(H52=0,I52,_XLL.RISKEXPON(F54,_XLL.RISKTRUNCATE(F53,F55),_XLL.RISKCOLLECT())/100)</f>
        <v>0.03105574160688347</v>
      </c>
      <c r="H52" s="28">
        <v>1</v>
      </c>
      <c r="I52" s="66"/>
    </row>
    <row r="53" spans="1:9" ht="12.75">
      <c r="A53" s="30"/>
      <c r="B53" s="14"/>
      <c r="C53" s="14"/>
      <c r="D53" s="14"/>
      <c r="E53" s="37" t="s">
        <v>198</v>
      </c>
      <c r="F53" s="32">
        <v>0</v>
      </c>
      <c r="G53" s="14"/>
      <c r="H53" s="14"/>
      <c r="I53" s="38"/>
    </row>
    <row r="54" spans="1:9" ht="12.75">
      <c r="A54" s="30"/>
      <c r="B54" s="14"/>
      <c r="C54" s="14"/>
      <c r="D54" s="14"/>
      <c r="E54" s="37" t="s">
        <v>0</v>
      </c>
      <c r="F54" s="32">
        <v>4</v>
      </c>
      <c r="G54" s="14"/>
      <c r="H54" s="14"/>
      <c r="I54" s="38"/>
    </row>
    <row r="55" spans="1:9" ht="12.75">
      <c r="A55" s="30"/>
      <c r="B55" s="14"/>
      <c r="C55" s="14"/>
      <c r="D55" s="14"/>
      <c r="E55" s="37" t="s">
        <v>199</v>
      </c>
      <c r="F55" s="32">
        <v>10</v>
      </c>
      <c r="G55" s="14"/>
      <c r="H55" s="14"/>
      <c r="I55" s="38"/>
    </row>
    <row r="56" spans="1:9" ht="12.75">
      <c r="A56" s="30" t="s">
        <v>217</v>
      </c>
      <c r="B56" s="14"/>
      <c r="C56" s="14"/>
      <c r="D56" s="14"/>
      <c r="E56" s="14"/>
      <c r="F56" s="14"/>
      <c r="G56" s="54">
        <f>_XLL.RISKOUTPUT("pFCS -beginn")+pFCS*resd</f>
        <v>0.00266192070916144</v>
      </c>
      <c r="H56" s="14"/>
      <c r="I56" s="38"/>
    </row>
    <row r="57" spans="1:9" ht="12.75">
      <c r="A57" s="39" t="s">
        <v>216</v>
      </c>
      <c r="B57" s="40"/>
      <c r="C57" s="40"/>
      <c r="D57" s="40"/>
      <c r="E57" s="40"/>
      <c r="F57" s="40"/>
      <c r="G57" s="50">
        <f>_XLL.RISKOUTPUT("cFCS (at  t=0)")+pFCS*resd*nFCS</f>
        <v>3.2581909480136027</v>
      </c>
      <c r="H57" s="40"/>
      <c r="I57" s="43"/>
    </row>
    <row r="58" spans="1:9" ht="12.75">
      <c r="A58" s="17" t="s">
        <v>218</v>
      </c>
      <c r="B58" s="24"/>
      <c r="C58" s="24"/>
      <c r="D58" s="24"/>
      <c r="E58" s="25" t="s">
        <v>21</v>
      </c>
      <c r="F58" s="24"/>
      <c r="G58" s="67">
        <f>_XLL.RISKOUTPUT("pFP raw")+IF(H58=0,I58,_XLL.RISKBETA(F59+1,F60-F59+1,_XLL.RISKCOLLECT()))</f>
        <v>0.11764705882352941</v>
      </c>
      <c r="H58" s="28">
        <v>1</v>
      </c>
      <c r="I58" s="68"/>
    </row>
    <row r="59" spans="1:9" ht="12.75">
      <c r="A59" s="30"/>
      <c r="B59" s="14"/>
      <c r="C59" s="14"/>
      <c r="D59" s="14"/>
      <c r="E59" s="37" t="s">
        <v>212</v>
      </c>
      <c r="F59" s="32">
        <v>7</v>
      </c>
      <c r="G59" s="14"/>
      <c r="H59" s="14"/>
      <c r="I59" s="38"/>
    </row>
    <row r="60" spans="1:9" ht="12.75">
      <c r="A60" s="30"/>
      <c r="B60" s="14"/>
      <c r="C60" s="14"/>
      <c r="D60" s="14"/>
      <c r="E60" s="37" t="s">
        <v>213</v>
      </c>
      <c r="F60" s="32">
        <v>66</v>
      </c>
      <c r="G60" s="14"/>
      <c r="H60" s="14"/>
      <c r="I60" s="38"/>
    </row>
    <row r="61" spans="1:9" ht="12.75">
      <c r="A61" s="58" t="s">
        <v>227</v>
      </c>
      <c r="B61" s="59"/>
      <c r="C61" s="59"/>
      <c r="D61" s="59"/>
      <c r="E61" s="31"/>
      <c r="F61" s="14"/>
      <c r="G61" s="54">
        <f>_XLL.RISKDUNIFORM(B67:F67,_XLL.RISKCOLLECT())</f>
        <v>0.11538461538461539</v>
      </c>
      <c r="H61" s="14"/>
      <c r="I61" s="38"/>
    </row>
    <row r="62" spans="1:9" ht="12.75">
      <c r="A62" s="60" t="s">
        <v>221</v>
      </c>
      <c r="B62" s="32">
        <v>25</v>
      </c>
      <c r="C62" s="32">
        <v>65</v>
      </c>
      <c r="D62" s="32">
        <v>30</v>
      </c>
      <c r="E62" s="32">
        <v>30</v>
      </c>
      <c r="F62" s="32">
        <v>50</v>
      </c>
      <c r="G62" s="14"/>
      <c r="H62" s="14"/>
      <c r="I62" s="38"/>
    </row>
    <row r="63" spans="1:9" ht="12.75">
      <c r="A63" s="60" t="s">
        <v>222</v>
      </c>
      <c r="B63" s="32">
        <v>6</v>
      </c>
      <c r="C63" s="32">
        <v>52</v>
      </c>
      <c r="D63" s="32">
        <v>24</v>
      </c>
      <c r="E63" s="32">
        <v>21</v>
      </c>
      <c r="F63" s="32">
        <v>5</v>
      </c>
      <c r="G63" s="14"/>
      <c r="H63" s="14"/>
      <c r="I63" s="38"/>
    </row>
    <row r="64" spans="1:9" ht="12.75">
      <c r="A64" s="60" t="s">
        <v>223</v>
      </c>
      <c r="B64" s="61">
        <v>0.24</v>
      </c>
      <c r="C64" s="61">
        <v>0.8</v>
      </c>
      <c r="D64" s="61">
        <v>0.8</v>
      </c>
      <c r="E64" s="61">
        <v>0.7</v>
      </c>
      <c r="F64" s="61">
        <v>0.1</v>
      </c>
      <c r="G64" s="14"/>
      <c r="H64" s="14"/>
      <c r="I64" s="38"/>
    </row>
    <row r="65" spans="1:9" ht="12.75">
      <c r="A65" s="60" t="s">
        <v>224</v>
      </c>
      <c r="B65" s="32">
        <v>0</v>
      </c>
      <c r="C65" s="32">
        <v>6</v>
      </c>
      <c r="D65" s="32">
        <v>9</v>
      </c>
      <c r="E65" s="32">
        <v>4</v>
      </c>
      <c r="F65" s="32">
        <v>0</v>
      </c>
      <c r="G65" s="14"/>
      <c r="H65" s="14"/>
      <c r="I65" s="38"/>
    </row>
    <row r="66" spans="1:9" ht="12.75">
      <c r="A66" s="60" t="s">
        <v>225</v>
      </c>
      <c r="B66" s="61">
        <v>0</v>
      </c>
      <c r="C66" s="61">
        <v>0.09230769230769231</v>
      </c>
      <c r="D66" s="61">
        <v>0.3</v>
      </c>
      <c r="E66" s="61">
        <v>0.13333333333333333</v>
      </c>
      <c r="F66" s="61">
        <v>0</v>
      </c>
      <c r="G66" s="14"/>
      <c r="H66" s="14"/>
      <c r="I66" s="38"/>
    </row>
    <row r="67" spans="1:9" ht="12.75">
      <c r="A67" s="60" t="s">
        <v>226</v>
      </c>
      <c r="B67" s="62">
        <v>0</v>
      </c>
      <c r="C67" s="62">
        <v>0.11538461538461539</v>
      </c>
      <c r="D67" s="62">
        <v>0.375</v>
      </c>
      <c r="E67" s="62">
        <v>0.1904761904761905</v>
      </c>
      <c r="F67" s="62">
        <v>0</v>
      </c>
      <c r="G67" s="14"/>
      <c r="H67" s="14"/>
      <c r="I67" s="38"/>
    </row>
    <row r="68" spans="1:9" ht="12.75">
      <c r="A68" s="30" t="s">
        <v>219</v>
      </c>
      <c r="B68" s="14"/>
      <c r="C68" s="14"/>
      <c r="D68" s="14"/>
      <c r="E68" s="14"/>
      <c r="F68" s="14"/>
      <c r="G68" s="63">
        <f>_XLL.RISKOUTPUT("pFP-enter")+IF(H68=0,I68,G58*G61)</f>
        <v>0.013574660633484163</v>
      </c>
      <c r="H68" s="34">
        <v>1</v>
      </c>
      <c r="I68" s="57"/>
    </row>
    <row r="69" spans="1:9" ht="12.75">
      <c r="A69" s="39" t="s">
        <v>220</v>
      </c>
      <c r="B69" s="40"/>
      <c r="C69" s="40"/>
      <c r="D69" s="40"/>
      <c r="E69" s="40"/>
      <c r="F69" s="40"/>
      <c r="G69" s="55">
        <f>_XLL.RISKOUTPUT("cFP (at  t=0)")+pFP*nFP</f>
        <v>1.3846153846153846</v>
      </c>
      <c r="H69" s="40"/>
      <c r="I69" s="43"/>
    </row>
    <row r="70" spans="1:9" ht="12.75">
      <c r="A70" s="30" t="s">
        <v>118</v>
      </c>
      <c r="B70" s="14"/>
      <c r="C70" s="14"/>
      <c r="D70" s="14"/>
      <c r="E70" s="31" t="s">
        <v>119</v>
      </c>
      <c r="F70" s="14"/>
      <c r="G70" s="56">
        <f>IF(H70=0,I70,_XLL.RISKBETA(F71+1,F72-F71+1,_XLL.RISKCOLLECT()))</f>
        <v>0.07692307692307693</v>
      </c>
      <c r="H70" s="34">
        <v>1</v>
      </c>
      <c r="I70" s="57"/>
    </row>
    <row r="71" spans="1:9" ht="12.75">
      <c r="A71" s="30"/>
      <c r="B71" s="14"/>
      <c r="C71" s="14"/>
      <c r="D71" s="14"/>
      <c r="E71" s="37" t="s">
        <v>212</v>
      </c>
      <c r="F71" s="32">
        <v>0</v>
      </c>
      <c r="G71" s="14"/>
      <c r="H71" s="14"/>
      <c r="I71" s="38"/>
    </row>
    <row r="72" spans="1:9" ht="12.75">
      <c r="A72" s="39"/>
      <c r="B72" s="40"/>
      <c r="C72" s="40"/>
      <c r="D72" s="40"/>
      <c r="E72" s="41" t="s">
        <v>213</v>
      </c>
      <c r="F72" s="49">
        <v>11</v>
      </c>
      <c r="G72" s="40"/>
      <c r="H72" s="40"/>
      <c r="I72" s="43"/>
    </row>
    <row r="73" ht="12.75">
      <c r="I73" s="1"/>
    </row>
    <row r="74" spans="1:9" ht="12.75">
      <c r="A74" s="17" t="s">
        <v>229</v>
      </c>
      <c r="B74" s="24"/>
      <c r="C74" s="24"/>
      <c r="D74" s="24"/>
      <c r="E74" s="25" t="s">
        <v>22</v>
      </c>
      <c r="F74" s="24"/>
      <c r="G74" s="69">
        <f>IF(H74=0,I74,_XLL.RISKPERT(F75,F76,F77,_XLL.RISKCOLLECT()))</f>
        <v>130</v>
      </c>
      <c r="H74" s="28">
        <v>1</v>
      </c>
      <c r="I74" s="66"/>
    </row>
    <row r="75" spans="1:9" ht="12.75">
      <c r="A75" s="30"/>
      <c r="B75" s="14"/>
      <c r="C75" s="14"/>
      <c r="D75" s="14"/>
      <c r="E75" s="37" t="s">
        <v>198</v>
      </c>
      <c r="F75" s="32">
        <v>60</v>
      </c>
      <c r="G75" s="14"/>
      <c r="H75" s="14"/>
      <c r="I75" s="38"/>
    </row>
    <row r="76" spans="1:9" ht="12.75">
      <c r="A76" s="30"/>
      <c r="B76" s="14"/>
      <c r="C76" s="14"/>
      <c r="D76" s="14"/>
      <c r="E76" s="37" t="s">
        <v>0</v>
      </c>
      <c r="F76" s="32">
        <v>120</v>
      </c>
      <c r="G76" s="14"/>
      <c r="H76" s="14"/>
      <c r="I76" s="38"/>
    </row>
    <row r="77" spans="1:9" ht="12.75">
      <c r="A77" s="30"/>
      <c r="B77" s="14"/>
      <c r="C77" s="14"/>
      <c r="D77" s="14"/>
      <c r="E77" s="37" t="s">
        <v>199</v>
      </c>
      <c r="F77" s="32">
        <v>240</v>
      </c>
      <c r="G77" s="14"/>
      <c r="H77" s="14"/>
      <c r="I77" s="38"/>
    </row>
    <row r="78" spans="1:9" ht="12.75">
      <c r="A78" s="39" t="s">
        <v>228</v>
      </c>
      <c r="B78" s="40"/>
      <c r="C78" s="40"/>
      <c r="D78" s="40"/>
      <c r="E78" s="41"/>
      <c r="F78" s="70"/>
      <c r="G78" s="71">
        <f>_XLL.RISKOUTPUT("G_h rate")+1/G74</f>
        <v>0.007692307692307693</v>
      </c>
      <c r="H78" s="40"/>
      <c r="I78" s="43"/>
    </row>
    <row r="79" spans="1:9" ht="12.75">
      <c r="A79" s="17" t="s">
        <v>230</v>
      </c>
      <c r="B79" s="24"/>
      <c r="C79" s="24"/>
      <c r="D79" s="24"/>
      <c r="E79" s="24"/>
      <c r="F79" s="26">
        <v>10</v>
      </c>
      <c r="G79" s="27">
        <f>IF(H79=0,I79,F79)</f>
        <v>10</v>
      </c>
      <c r="H79" s="28">
        <v>1</v>
      </c>
      <c r="I79" s="66"/>
    </row>
    <row r="80" spans="1:9" ht="12.75">
      <c r="A80" s="39" t="s">
        <v>231</v>
      </c>
      <c r="B80" s="40"/>
      <c r="C80" s="40"/>
      <c r="D80" s="40"/>
      <c r="E80" s="48" t="s">
        <v>24</v>
      </c>
      <c r="F80" s="40"/>
      <c r="G80" s="72">
        <f>_XLL.RISKOUTPUT("pr-rate")+1/G79</f>
        <v>0.1</v>
      </c>
      <c r="H80" s="40"/>
      <c r="I80" s="73"/>
    </row>
    <row r="82" spans="1:9" ht="12.75">
      <c r="A82" s="74" t="s">
        <v>254</v>
      </c>
      <c r="B82" s="75"/>
      <c r="C82" s="75"/>
      <c r="D82" s="75"/>
      <c r="E82" s="24"/>
      <c r="F82" s="24"/>
      <c r="G82" s="76">
        <f>_XLL.RISKOUTPUT("pF-validation")+_XLL.RISKBETA(F83+1,F84-F83+1)</f>
        <v>0.058823529411764705</v>
      </c>
      <c r="H82" s="24"/>
      <c r="I82" s="77"/>
    </row>
    <row r="83" spans="1:9" ht="12.75">
      <c r="A83" s="30"/>
      <c r="B83" s="14"/>
      <c r="C83" s="14"/>
      <c r="D83" s="14"/>
      <c r="E83" s="37" t="s">
        <v>212</v>
      </c>
      <c r="F83" s="78">
        <v>3</v>
      </c>
      <c r="G83" s="14"/>
      <c r="H83" s="14"/>
      <c r="I83" s="79"/>
    </row>
    <row r="84" spans="1:9" ht="12.75">
      <c r="A84" s="39"/>
      <c r="B84" s="40"/>
      <c r="C84" s="40"/>
      <c r="D84" s="40"/>
      <c r="E84" s="41" t="s">
        <v>213</v>
      </c>
      <c r="F84" s="80">
        <v>66</v>
      </c>
      <c r="G84" s="40"/>
      <c r="H84" s="40"/>
      <c r="I84" s="73"/>
    </row>
    <row r="85" ht="12.75">
      <c r="G85" s="19"/>
    </row>
    <row r="86" spans="1:7" ht="18.75" thickBot="1">
      <c r="A86" s="21" t="s">
        <v>233</v>
      </c>
      <c r="B86" s="21"/>
      <c r="C86" s="21"/>
      <c r="D86" s="21"/>
      <c r="G86" s="19"/>
    </row>
    <row r="87" spans="1:7" ht="12.75">
      <c r="A87" s="15" t="s">
        <v>236</v>
      </c>
      <c r="B87" s="16"/>
      <c r="C87" s="16"/>
      <c r="D87" s="16"/>
      <c r="E87" s="16"/>
      <c r="F87" s="16"/>
      <c r="G87" s="22">
        <f>G88+G89</f>
        <v>4284.0000000000055</v>
      </c>
    </row>
    <row r="88" spans="1:7" ht="12.75">
      <c r="A88" s="13" t="s">
        <v>234</v>
      </c>
      <c r="B88" s="14"/>
      <c r="C88" s="14"/>
      <c r="D88" s="14"/>
      <c r="E88" s="14"/>
      <c r="F88" s="14"/>
      <c r="G88" s="23">
        <f>SUM('Cross-contamination model'!E5:E424)</f>
        <v>4225.846153846159</v>
      </c>
    </row>
    <row r="89" spans="1:7" ht="12.75">
      <c r="A89" s="13" t="s">
        <v>235</v>
      </c>
      <c r="B89" s="14"/>
      <c r="C89" s="14"/>
      <c r="D89" s="14"/>
      <c r="E89" s="14"/>
      <c r="F89" s="14"/>
      <c r="G89" s="23">
        <f>SUM('Cross-contamination model'!F5:F424)</f>
        <v>58.15384615384666</v>
      </c>
    </row>
    <row r="90" spans="1:7" ht="16.5" thickBot="1">
      <c r="A90" s="81" t="s">
        <v>238</v>
      </c>
      <c r="B90" s="82"/>
      <c r="C90" s="82"/>
      <c r="D90" s="82"/>
      <c r="E90" s="82"/>
      <c r="F90" s="82"/>
      <c r="G90" s="83">
        <f>_XLL.RISKOUTPUT("contaminated food")+G89/G87</f>
        <v>0.013574660633484264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4"/>
  <sheetViews>
    <sheetView workbookViewId="0" topLeftCell="A1">
      <selection activeCell="A9" sqref="A9"/>
    </sheetView>
  </sheetViews>
  <sheetFormatPr defaultColWidth="9.140625" defaultRowHeight="12.75"/>
  <cols>
    <col min="1" max="1" width="14.421875" style="0" customWidth="1"/>
    <col min="2" max="2" width="5.00390625" style="0" customWidth="1"/>
    <col min="4" max="4" width="10.140625" style="0" bestFit="1" customWidth="1"/>
    <col min="7" max="7" width="10.57421875" style="0" bestFit="1" customWidth="1"/>
    <col min="9" max="9" width="9.57421875" style="0" bestFit="1" customWidth="1"/>
    <col min="10" max="10" width="12.421875" style="0" bestFit="1" customWidth="1"/>
    <col min="11" max="11" width="8.7109375" style="0" customWidth="1"/>
    <col min="13" max="13" width="10.00390625" style="0" bestFit="1" customWidth="1"/>
    <col min="14" max="14" width="12.421875" style="0" bestFit="1" customWidth="1"/>
    <col min="19" max="19" width="10.28125" style="0" customWidth="1"/>
    <col min="21" max="23" width="0" style="0" hidden="1" customWidth="1"/>
    <col min="24" max="24" width="6.7109375" style="0" hidden="1" customWidth="1"/>
    <col min="25" max="25" width="6.421875" style="0" hidden="1" customWidth="1"/>
    <col min="26" max="26" width="6.140625" style="0" hidden="1" customWidth="1"/>
    <col min="27" max="27" width="6.7109375" style="0" hidden="1" customWidth="1"/>
    <col min="28" max="28" width="5.7109375" style="0" hidden="1" customWidth="1"/>
    <col min="29" max="29" width="9.57421875" style="0" hidden="1" customWidth="1"/>
    <col min="30" max="30" width="11.00390625" style="0" customWidth="1"/>
  </cols>
  <sheetData>
    <row r="1" ht="18">
      <c r="A1" s="97" t="s">
        <v>256</v>
      </c>
    </row>
    <row r="2" spans="21:23" ht="12.75">
      <c r="U2" s="98" t="s">
        <v>191</v>
      </c>
      <c r="V2" s="98"/>
      <c r="W2" s="98"/>
    </row>
    <row r="3" spans="1:23" ht="51">
      <c r="A3" s="20" t="s">
        <v>194</v>
      </c>
      <c r="B3" t="s">
        <v>25</v>
      </c>
      <c r="C3" s="5" t="s">
        <v>27</v>
      </c>
      <c r="D3" s="5" t="s">
        <v>28</v>
      </c>
      <c r="E3" s="5" t="s">
        <v>29</v>
      </c>
      <c r="F3" s="5" t="s">
        <v>30</v>
      </c>
      <c r="G3" s="6" t="s">
        <v>31</v>
      </c>
      <c r="H3" s="5" t="s">
        <v>32</v>
      </c>
      <c r="I3" s="5" t="s">
        <v>33</v>
      </c>
      <c r="J3" s="4" t="s">
        <v>34</v>
      </c>
      <c r="K3" s="4" t="s">
        <v>35</v>
      </c>
      <c r="L3" s="6" t="s">
        <v>36</v>
      </c>
      <c r="M3" s="4" t="s">
        <v>37</v>
      </c>
      <c r="N3" s="4" t="s">
        <v>33</v>
      </c>
      <c r="O3" s="7" t="s">
        <v>38</v>
      </c>
      <c r="P3" s="7" t="s">
        <v>39</v>
      </c>
      <c r="Q3" s="6" t="s">
        <v>40</v>
      </c>
      <c r="R3" s="7" t="s">
        <v>41</v>
      </c>
      <c r="S3" s="7" t="s">
        <v>33</v>
      </c>
      <c r="U3" t="s">
        <v>192</v>
      </c>
      <c r="V3" t="s">
        <v>26</v>
      </c>
      <c r="W3" t="s">
        <v>193</v>
      </c>
    </row>
    <row r="4" spans="1:23" ht="12.75">
      <c r="A4" s="3">
        <v>1</v>
      </c>
      <c r="B4">
        <v>0</v>
      </c>
      <c r="C4" s="2">
        <f>nFP*(1-pFP)</f>
        <v>100.61538461538461</v>
      </c>
      <c r="D4" s="2">
        <f>IF(nFP*pFP&lt;1,0,nFP*pFP)</f>
        <v>1.3846153846153846</v>
      </c>
      <c r="E4" s="2">
        <v>0</v>
      </c>
      <c r="F4" s="2">
        <v>0</v>
      </c>
      <c r="G4" s="9">
        <f>_XLL.RISKOUTPUT(,"Contaminated food products during a shift",1)+D4/(C4+D4)</f>
        <v>0.013574660633484163</v>
      </c>
      <c r="H4" s="2">
        <f>IF(C4&lt;1,0,_XLL.RISKBINOMIAL(ROUND(C4,0),I4))</f>
        <v>0</v>
      </c>
      <c r="I4" s="8">
        <f>(1-((1-p_FCS_FP)^(K4))*((1-p_G_FP)^(P4))*((1-p_FP_FP)^(D4)))</f>
        <v>5.569062148913506E-05</v>
      </c>
      <c r="J4" s="2">
        <f>nFCS*(1-'Input paramaters &amp; Outputs'!G56)</f>
        <v>1220.7418090519864</v>
      </c>
      <c r="K4" s="12">
        <f>IF(nFCS*'Input paramaters &amp; Outputs'!G56&lt;1,0,nFCS*'Input paramaters &amp; Outputs'!G56)</f>
        <v>3.2581909480136027</v>
      </c>
      <c r="L4" s="10">
        <f>_XLL.RISKOUTPUT(,"Contaminated food contact surfaces during a shift",1)+K4/(J4+K4)</f>
        <v>0.00266192070916144</v>
      </c>
      <c r="M4" s="2">
        <f>IF(J4&lt;1,0,_XLL.RISKBINOMIAL(ROUND(J4,0),N4))</f>
        <v>0</v>
      </c>
      <c r="N4" s="11">
        <f>(1-((1-p_FP_FCS)^(D4))*((1-p_G_FCS)^(P4)))</f>
        <v>1.3308466217609727E-05</v>
      </c>
      <c r="O4" s="2">
        <f>nG</f>
        <v>68</v>
      </c>
      <c r="P4" s="2">
        <v>0</v>
      </c>
      <c r="Q4" s="10">
        <f>_XLL.RISKOUTPUT(,"Contaminated gloves during a shift",1)+P4/(O4+P4)</f>
        <v>0</v>
      </c>
      <c r="R4" s="2">
        <f>IF(O4&lt;1,0,_XLL.RISKBINOMIAL(ROUND(O4,0),S4))</f>
        <v>0</v>
      </c>
      <c r="S4" s="11">
        <f>(1-((1-p_FP_G)^(D4)*(1-p_FCS_G)^(K4)*(1-p_G_E)^(pE*nE)))</f>
        <v>0.00023378173862875773</v>
      </c>
      <c r="U4" s="2">
        <f aca="true" t="shared" si="0" ref="U4:U67">C4+D4</f>
        <v>102</v>
      </c>
      <c r="V4" s="2">
        <f aca="true" t="shared" si="1" ref="V4:V67">J4+K4</f>
        <v>1224</v>
      </c>
      <c r="W4" s="2">
        <f aca="true" t="shared" si="2" ref="W4:W67">O4+P4</f>
        <v>68</v>
      </c>
    </row>
    <row r="5" spans="1:23" ht="12.75">
      <c r="A5">
        <v>1</v>
      </c>
      <c r="B5">
        <v>1</v>
      </c>
      <c r="C5" s="2">
        <f>IF(C4-H4-pr*C4+nFP*pr*(1-pFP)&lt;0,0,C4-H4-pr*C4+nFP*pr*(1-pFP))</f>
        <v>100.61538461538461</v>
      </c>
      <c r="D5" s="2">
        <f>IF(D4+H4+pr*nFP*pFP-D4*pr&lt;0,0,D4+H4+pr*nFP*pFP-D4*pr)</f>
        <v>1.3846153846153846</v>
      </c>
      <c r="E5" s="2">
        <f>C5*pr</f>
        <v>10.061538461538461</v>
      </c>
      <c r="F5" s="2">
        <f>D5*pr</f>
        <v>0.13846153846153847</v>
      </c>
      <c r="G5" s="9">
        <f>_XLL.RISKOUTPUT(,"Contaminated food products during a shift",2)+D5/(C5+D5)</f>
        <v>0.013574660633484163</v>
      </c>
      <c r="H5" s="2">
        <f>IF(C5&lt;1,0,_XLL.RISKBINOMIAL(ROUND(C5,0),I5))</f>
        <v>0</v>
      </c>
      <c r="I5" s="8">
        <f>(1-((1-p_FCS_FP)^(K5))*((1-p_G_FP)^(P5))*((1-p_FP_FP)^(D5)))</f>
        <v>5.569062148913506E-05</v>
      </c>
      <c r="J5" s="2">
        <f aca="true" t="shared" si="3" ref="J5:J68">IF(J4-M4+K4*(1-A5)&lt;0,0,J4-M4+K4*(1-A5))</f>
        <v>1220.7418090519864</v>
      </c>
      <c r="K5" s="2">
        <f aca="true" t="shared" si="4" ref="K5:K68">IF(K4+M4-K4*(1-A5)&lt;0,0,K4+M4-K4*(1-A5))</f>
        <v>3.2581909480136027</v>
      </c>
      <c r="L5" s="10">
        <f>_XLL.RISKOUTPUT(,"Contaminated food contact surfaces during a shift",2)+K5/(J5+K5)</f>
        <v>0.00266192070916144</v>
      </c>
      <c r="M5" s="2">
        <f>IF(J5&lt;1,0,_XLL.RISKBINOMIAL(ROUND(J5,0),N5))</f>
        <v>0</v>
      </c>
      <c r="N5" s="11">
        <f>(1-((1-p_FP_FCS)^(D5))*((1-p_G_FCS)^(P5)))</f>
        <v>1.3308466217609727E-05</v>
      </c>
      <c r="O5" s="2">
        <f>IF(O4-R4+nG*G_h-O4*G_h&lt;0,0,O4-R4+nG*G_h-O4*G_h)</f>
        <v>68</v>
      </c>
      <c r="P5" s="2">
        <f>IF(P4+R4-P4*G_h&lt;0,0,P4+R4-P4*G_h)</f>
        <v>0</v>
      </c>
      <c r="Q5" s="10">
        <f>_XLL.RISKOUTPUT(,"Contaminated gloves during a shift",2)+P5/(O5+P5)</f>
        <v>0</v>
      </c>
      <c r="R5" s="2">
        <f>IF(O5&lt;1,0,_XLL.RISKBINOMIAL(ROUND(O5,0),S5))</f>
        <v>0</v>
      </c>
      <c r="S5" s="11">
        <f aca="true" t="shared" si="5" ref="S5:S68">(1-((1-p_FP_G)^(D5)*(1-p_FCS_G)^(K5)*(1-p_G_E)^(pE*nE)))</f>
        <v>0.0002337817386286467</v>
      </c>
      <c r="U5" s="2">
        <f t="shared" si="0"/>
        <v>102</v>
      </c>
      <c r="V5" s="2">
        <f t="shared" si="1"/>
        <v>1224</v>
      </c>
      <c r="W5" s="2">
        <f t="shared" si="2"/>
        <v>68</v>
      </c>
    </row>
    <row r="6" spans="1:23" ht="12.75">
      <c r="A6">
        <v>1</v>
      </c>
      <c r="B6">
        <v>2</v>
      </c>
      <c r="C6" s="2">
        <f aca="true" t="shared" si="6" ref="C6:C69">IF(C5-H5-pr*C5+nFP*pr*(1-pFP)&lt;0,0,C5-H5-pr*C5+nFP*pr*(1-pFP))</f>
        <v>100.61538461538461</v>
      </c>
      <c r="D6" s="2">
        <f aca="true" t="shared" si="7" ref="D6:D69">IF(D5+H5+pr*nFP*pFP-D5*pr&lt;0,0,D5+H5+pr*nFP*pFP-D5*pr)</f>
        <v>1.3846153846153846</v>
      </c>
      <c r="E6" s="2">
        <f aca="true" t="shared" si="8" ref="E6:E69">C6*pr</f>
        <v>10.061538461538461</v>
      </c>
      <c r="F6" s="2">
        <f aca="true" t="shared" si="9" ref="F6:F69">D6*pr</f>
        <v>0.13846153846153847</v>
      </c>
      <c r="G6" s="9">
        <f>_XLL.RISKOUTPUT(,"Contaminated food products during a shift",3)+D6/(C6+D6)</f>
        <v>0.013574660633484163</v>
      </c>
      <c r="H6" s="2">
        <f>IF(C6&lt;1,0,_XLL.RISKBINOMIAL(ROUND(C6,0),I6))</f>
        <v>0</v>
      </c>
      <c r="I6" s="8">
        <f aca="true" t="shared" si="10" ref="I6:I69">(1-((1-p_FCS_FP)^(K6))*((1-p_G_FP)^(P6))*((1-p_FP_FP)^(D6)))</f>
        <v>5.569062148913506E-05</v>
      </c>
      <c r="J6" s="2">
        <f t="shared" si="3"/>
        <v>1220.7418090519864</v>
      </c>
      <c r="K6" s="2">
        <f t="shared" si="4"/>
        <v>3.2581909480136027</v>
      </c>
      <c r="L6" s="10">
        <f>_XLL.RISKOUTPUT(,"Contaminated food contact surfaces during a shift",3)+K6/(J6+K6)</f>
        <v>0.00266192070916144</v>
      </c>
      <c r="M6" s="2">
        <f>IF(J6&lt;1,0,_XLL.RISKBINOMIAL(ROUND(J6,0),N6))</f>
        <v>0</v>
      </c>
      <c r="N6" s="11">
        <f aca="true" t="shared" si="11" ref="N6:N69">(1-((1-p_FP_FCS)^(D6))*((1-p_G_FCS)^(P6)))</f>
        <v>1.3308466217609727E-05</v>
      </c>
      <c r="O6" s="2">
        <f aca="true" t="shared" si="12" ref="O6:O69">IF(O5-R5+nG*G_h-O5*G_h&lt;0,0,O5-R5+nG*G_h-O5*G_h)</f>
        <v>68</v>
      </c>
      <c r="P6" s="2">
        <f aca="true" t="shared" si="13" ref="P6:P69">IF(P5+R5-P5*G_h&lt;0,0,P5+R5-P5*G_h)</f>
        <v>0</v>
      </c>
      <c r="Q6" s="10">
        <f>_XLL.RISKOUTPUT(,"Contaminated gloves during a shift",3)+P6/(O6+P6)</f>
        <v>0</v>
      </c>
      <c r="R6" s="2">
        <f>IF(O6&lt;1,0,_XLL.RISKBINOMIAL(ROUND(O6,0),S6))</f>
        <v>0</v>
      </c>
      <c r="S6" s="11">
        <f t="shared" si="5"/>
        <v>0.0002337817386286467</v>
      </c>
      <c r="U6" s="2">
        <f t="shared" si="0"/>
        <v>102</v>
      </c>
      <c r="V6" s="2">
        <f t="shared" si="1"/>
        <v>1224</v>
      </c>
      <c r="W6" s="2">
        <f t="shared" si="2"/>
        <v>68</v>
      </c>
    </row>
    <row r="7" spans="1:23" ht="12.75">
      <c r="A7">
        <v>1</v>
      </c>
      <c r="B7">
        <v>3</v>
      </c>
      <c r="C7" s="2">
        <f t="shared" si="6"/>
        <v>100.61538461538461</v>
      </c>
      <c r="D7" s="2">
        <f t="shared" si="7"/>
        <v>1.3846153846153846</v>
      </c>
      <c r="E7" s="2">
        <f t="shared" si="8"/>
        <v>10.061538461538461</v>
      </c>
      <c r="F7" s="2">
        <f t="shared" si="9"/>
        <v>0.13846153846153847</v>
      </c>
      <c r="G7" s="9">
        <f>_XLL.RISKOUTPUT(,"Contaminated food products during a shift",4)+D7/(C7+D7)</f>
        <v>0.013574660633484163</v>
      </c>
      <c r="H7" s="2">
        <f>IF(C7&lt;1,0,_XLL.RISKBINOMIAL(ROUND(C7,0),I7))</f>
        <v>0</v>
      </c>
      <c r="I7" s="8">
        <f t="shared" si="10"/>
        <v>5.569062148913506E-05</v>
      </c>
      <c r="J7" s="2">
        <f t="shared" si="3"/>
        <v>1220.7418090519864</v>
      </c>
      <c r="K7" s="2">
        <f t="shared" si="4"/>
        <v>3.2581909480136027</v>
      </c>
      <c r="L7" s="10">
        <f>_XLL.RISKOUTPUT(,"Contaminated food contact surfaces during a shift",4)+K7/(J7+K7)</f>
        <v>0.00266192070916144</v>
      </c>
      <c r="M7" s="2">
        <f>IF(J7&lt;1,0,_XLL.RISKBINOMIAL(ROUND(J7,0),N7))</f>
        <v>0</v>
      </c>
      <c r="N7" s="11">
        <f t="shared" si="11"/>
        <v>1.3308466217609727E-05</v>
      </c>
      <c r="O7" s="2">
        <f t="shared" si="12"/>
        <v>68</v>
      </c>
      <c r="P7" s="2">
        <f t="shared" si="13"/>
        <v>0</v>
      </c>
      <c r="Q7" s="10">
        <f>_XLL.RISKOUTPUT(,"Contaminated gloves during a shift",4)+P7/(O7+P7)</f>
        <v>0</v>
      </c>
      <c r="R7" s="2">
        <f>IF(O7&lt;1,0,_XLL.RISKBINOMIAL(ROUND(O7,0),S7))</f>
        <v>0</v>
      </c>
      <c r="S7" s="11">
        <f t="shared" si="5"/>
        <v>0.0002337817386286467</v>
      </c>
      <c r="U7" s="2">
        <f t="shared" si="0"/>
        <v>102</v>
      </c>
      <c r="V7" s="2">
        <f t="shared" si="1"/>
        <v>1224</v>
      </c>
      <c r="W7" s="2">
        <f t="shared" si="2"/>
        <v>68</v>
      </c>
    </row>
    <row r="8" spans="1:23" ht="12.75">
      <c r="A8">
        <v>1</v>
      </c>
      <c r="B8">
        <v>4</v>
      </c>
      <c r="C8" s="2">
        <f t="shared" si="6"/>
        <v>100.61538461538461</v>
      </c>
      <c r="D8" s="2">
        <f t="shared" si="7"/>
        <v>1.3846153846153846</v>
      </c>
      <c r="E8" s="2">
        <f t="shared" si="8"/>
        <v>10.061538461538461</v>
      </c>
      <c r="F8" s="2">
        <f t="shared" si="9"/>
        <v>0.13846153846153847</v>
      </c>
      <c r="G8" s="9">
        <f>_XLL.RISKOUTPUT(,"Contaminated food products during a shift",5)+D8/(C8+D8)</f>
        <v>0.013574660633484163</v>
      </c>
      <c r="H8" s="2">
        <f>IF(C8&lt;1,0,_XLL.RISKBINOMIAL(ROUND(C8,0),I8))</f>
        <v>0</v>
      </c>
      <c r="I8" s="8">
        <f t="shared" si="10"/>
        <v>5.569062148913506E-05</v>
      </c>
      <c r="J8" s="2">
        <f t="shared" si="3"/>
        <v>1220.7418090519864</v>
      </c>
      <c r="K8" s="2">
        <f t="shared" si="4"/>
        <v>3.2581909480136027</v>
      </c>
      <c r="L8" s="10">
        <f>_XLL.RISKOUTPUT(,"Contaminated food contact surfaces during a shift",5)+K8/(J8+K8)</f>
        <v>0.00266192070916144</v>
      </c>
      <c r="M8" s="2">
        <f>IF(J8&lt;1,0,_XLL.RISKBINOMIAL(ROUND(J8,0),N8))</f>
        <v>0</v>
      </c>
      <c r="N8" s="11">
        <f t="shared" si="11"/>
        <v>1.3308466217609727E-05</v>
      </c>
      <c r="O8" s="2">
        <f t="shared" si="12"/>
        <v>68</v>
      </c>
      <c r="P8" s="2">
        <f t="shared" si="13"/>
        <v>0</v>
      </c>
      <c r="Q8" s="10">
        <f>_XLL.RISKOUTPUT(,"Contaminated gloves during a shift",5)+P8/(O8+P8)</f>
        <v>0</v>
      </c>
      <c r="R8" s="2">
        <f>IF(O8&lt;1,0,_XLL.RISKBINOMIAL(ROUND(O8,0),S8))</f>
        <v>0</v>
      </c>
      <c r="S8" s="11">
        <f t="shared" si="5"/>
        <v>0.0002337817386286467</v>
      </c>
      <c r="U8" s="2">
        <f t="shared" si="0"/>
        <v>102</v>
      </c>
      <c r="V8" s="2">
        <f t="shared" si="1"/>
        <v>1224</v>
      </c>
      <c r="W8" s="2">
        <f t="shared" si="2"/>
        <v>68</v>
      </c>
    </row>
    <row r="9" spans="1:23" ht="12.75">
      <c r="A9">
        <v>1</v>
      </c>
      <c r="B9">
        <v>5</v>
      </c>
      <c r="C9" s="2">
        <f t="shared" si="6"/>
        <v>100.61538461538461</v>
      </c>
      <c r="D9" s="2">
        <f t="shared" si="7"/>
        <v>1.3846153846153846</v>
      </c>
      <c r="E9" s="2">
        <f t="shared" si="8"/>
        <v>10.061538461538461</v>
      </c>
      <c r="F9" s="2">
        <f t="shared" si="9"/>
        <v>0.13846153846153847</v>
      </c>
      <c r="G9" s="9">
        <f>_XLL.RISKOUTPUT(,"Contaminated food products during a shift",6)+D9/(C9+D9)</f>
        <v>0.013574660633484163</v>
      </c>
      <c r="H9" s="2">
        <f>IF(C9&lt;1,0,_XLL.RISKBINOMIAL(ROUND(C9,0),I9))</f>
        <v>0</v>
      </c>
      <c r="I9" s="8">
        <f t="shared" si="10"/>
        <v>5.569062148913506E-05</v>
      </c>
      <c r="J9" s="2">
        <f t="shared" si="3"/>
        <v>1220.7418090519864</v>
      </c>
      <c r="K9" s="2">
        <f t="shared" si="4"/>
        <v>3.2581909480136027</v>
      </c>
      <c r="L9" s="10">
        <f>_XLL.RISKOUTPUT(,"Contaminated food contact surfaces during a shift",6)+K9/(J9+K9)</f>
        <v>0.00266192070916144</v>
      </c>
      <c r="M9" s="2">
        <f>IF(J9&lt;1,0,_XLL.RISKBINOMIAL(ROUND(J9,0),N9))</f>
        <v>0</v>
      </c>
      <c r="N9" s="11">
        <f t="shared" si="11"/>
        <v>1.3308466217609727E-05</v>
      </c>
      <c r="O9" s="2">
        <f t="shared" si="12"/>
        <v>68</v>
      </c>
      <c r="P9" s="2">
        <f t="shared" si="13"/>
        <v>0</v>
      </c>
      <c r="Q9" s="10">
        <f>_XLL.RISKOUTPUT(,"Contaminated gloves during a shift",6)+P9/(O9+P9)</f>
        <v>0</v>
      </c>
      <c r="R9" s="2">
        <f>IF(O9&lt;1,0,_XLL.RISKBINOMIAL(ROUND(O9,0),S9))</f>
        <v>0</v>
      </c>
      <c r="S9" s="11">
        <f t="shared" si="5"/>
        <v>0.0002337817386286467</v>
      </c>
      <c r="U9" s="2">
        <f t="shared" si="0"/>
        <v>102</v>
      </c>
      <c r="V9" s="2">
        <f t="shared" si="1"/>
        <v>1224</v>
      </c>
      <c r="W9" s="2">
        <f t="shared" si="2"/>
        <v>68</v>
      </c>
    </row>
    <row r="10" spans="1:23" ht="12.75">
      <c r="A10">
        <v>1</v>
      </c>
      <c r="B10">
        <v>6</v>
      </c>
      <c r="C10" s="2">
        <f t="shared" si="6"/>
        <v>100.61538461538461</v>
      </c>
      <c r="D10" s="2">
        <f t="shared" si="7"/>
        <v>1.3846153846153846</v>
      </c>
      <c r="E10" s="2">
        <f t="shared" si="8"/>
        <v>10.061538461538461</v>
      </c>
      <c r="F10" s="2">
        <f t="shared" si="9"/>
        <v>0.13846153846153847</v>
      </c>
      <c r="G10" s="9">
        <f>_XLL.RISKOUTPUT(,"Contaminated food products during a shift",7)+D10/(C10+D10)</f>
        <v>0.013574660633484163</v>
      </c>
      <c r="H10" s="2">
        <f>IF(C10&lt;1,0,_XLL.RISKBINOMIAL(ROUND(C10,0),I10))</f>
        <v>0</v>
      </c>
      <c r="I10" s="8">
        <f t="shared" si="10"/>
        <v>5.569062148913506E-05</v>
      </c>
      <c r="J10" s="2">
        <f t="shared" si="3"/>
        <v>1220.7418090519864</v>
      </c>
      <c r="K10" s="2">
        <f t="shared" si="4"/>
        <v>3.2581909480136027</v>
      </c>
      <c r="L10" s="10">
        <f>_XLL.RISKOUTPUT(,"Contaminated food contact surfaces during a shift",7)+K10/(J10+K10)</f>
        <v>0.00266192070916144</v>
      </c>
      <c r="M10" s="2">
        <f>IF(J10&lt;1,0,_XLL.RISKBINOMIAL(ROUND(J10,0),N10))</f>
        <v>0</v>
      </c>
      <c r="N10" s="11">
        <f t="shared" si="11"/>
        <v>1.3308466217609727E-05</v>
      </c>
      <c r="O10" s="2">
        <f t="shared" si="12"/>
        <v>68</v>
      </c>
      <c r="P10" s="2">
        <f t="shared" si="13"/>
        <v>0</v>
      </c>
      <c r="Q10" s="10">
        <f>_XLL.RISKOUTPUT(,"Contaminated gloves during a shift",7)+P10/(O10+P10)</f>
        <v>0</v>
      </c>
      <c r="R10" s="2">
        <f>IF(O10&lt;1,0,_XLL.RISKBINOMIAL(ROUND(O10,0),S10))</f>
        <v>0</v>
      </c>
      <c r="S10" s="11">
        <f t="shared" si="5"/>
        <v>0.0002337817386286467</v>
      </c>
      <c r="U10" s="2">
        <f t="shared" si="0"/>
        <v>102</v>
      </c>
      <c r="V10" s="2">
        <f t="shared" si="1"/>
        <v>1224</v>
      </c>
      <c r="W10" s="2">
        <f t="shared" si="2"/>
        <v>68</v>
      </c>
    </row>
    <row r="11" spans="1:23" ht="12.75">
      <c r="A11">
        <v>1</v>
      </c>
      <c r="B11">
        <v>7</v>
      </c>
      <c r="C11" s="2">
        <f t="shared" si="6"/>
        <v>100.61538461538461</v>
      </c>
      <c r="D11" s="2">
        <f t="shared" si="7"/>
        <v>1.3846153846153846</v>
      </c>
      <c r="E11" s="2">
        <f t="shared" si="8"/>
        <v>10.061538461538461</v>
      </c>
      <c r="F11" s="2">
        <f t="shared" si="9"/>
        <v>0.13846153846153847</v>
      </c>
      <c r="G11" s="9">
        <f>_XLL.RISKOUTPUT(,"Contaminated food products during a shift",8)+D11/(C11+D11)</f>
        <v>0.013574660633484163</v>
      </c>
      <c r="H11" s="2">
        <f>IF(C11&lt;1,0,_XLL.RISKBINOMIAL(ROUND(C11,0),I11))</f>
        <v>0</v>
      </c>
      <c r="I11" s="8">
        <f t="shared" si="10"/>
        <v>5.569062148913506E-05</v>
      </c>
      <c r="J11" s="2">
        <f t="shared" si="3"/>
        <v>1220.7418090519864</v>
      </c>
      <c r="K11" s="2">
        <f t="shared" si="4"/>
        <v>3.2581909480136027</v>
      </c>
      <c r="L11" s="10">
        <f>_XLL.RISKOUTPUT(,"Contaminated food contact surfaces during a shift",8)+K11/(J11+K11)</f>
        <v>0.00266192070916144</v>
      </c>
      <c r="M11" s="2">
        <f>IF(J11&lt;1,0,_XLL.RISKBINOMIAL(ROUND(J11,0),N11))</f>
        <v>0</v>
      </c>
      <c r="N11" s="11">
        <f t="shared" si="11"/>
        <v>1.3308466217609727E-05</v>
      </c>
      <c r="O11" s="2">
        <f t="shared" si="12"/>
        <v>68</v>
      </c>
      <c r="P11" s="2">
        <f t="shared" si="13"/>
        <v>0</v>
      </c>
      <c r="Q11" s="10">
        <f>_XLL.RISKOUTPUT(,"Contaminated gloves during a shift",8)+P11/(O11+P11)</f>
        <v>0</v>
      </c>
      <c r="R11" s="2">
        <f>IF(O11&lt;1,0,_XLL.RISKBINOMIAL(ROUND(O11,0),S11))</f>
        <v>0</v>
      </c>
      <c r="S11" s="11">
        <f t="shared" si="5"/>
        <v>0.0002337817386286467</v>
      </c>
      <c r="U11" s="2">
        <f t="shared" si="0"/>
        <v>102</v>
      </c>
      <c r="V11" s="2">
        <f t="shared" si="1"/>
        <v>1224</v>
      </c>
      <c r="W11" s="2">
        <f t="shared" si="2"/>
        <v>68</v>
      </c>
    </row>
    <row r="12" spans="1:23" ht="12.75">
      <c r="A12">
        <v>1</v>
      </c>
      <c r="B12">
        <v>8</v>
      </c>
      <c r="C12" s="2">
        <f t="shared" si="6"/>
        <v>100.61538461538461</v>
      </c>
      <c r="D12" s="2">
        <f t="shared" si="7"/>
        <v>1.3846153846153846</v>
      </c>
      <c r="E12" s="2">
        <f t="shared" si="8"/>
        <v>10.061538461538461</v>
      </c>
      <c r="F12" s="2">
        <f t="shared" si="9"/>
        <v>0.13846153846153847</v>
      </c>
      <c r="G12" s="9">
        <f>_XLL.RISKOUTPUT(,"Contaminated food products during a shift",9)+D12/(C12+D12)</f>
        <v>0.013574660633484163</v>
      </c>
      <c r="H12" s="2">
        <f>IF(C12&lt;1,0,_XLL.RISKBINOMIAL(ROUND(C12,0),I12))</f>
        <v>0</v>
      </c>
      <c r="I12" s="8">
        <f t="shared" si="10"/>
        <v>5.569062148913506E-05</v>
      </c>
      <c r="J12" s="2">
        <f t="shared" si="3"/>
        <v>1220.7418090519864</v>
      </c>
      <c r="K12" s="2">
        <f t="shared" si="4"/>
        <v>3.2581909480136027</v>
      </c>
      <c r="L12" s="10">
        <f>_XLL.RISKOUTPUT(,"Contaminated food contact surfaces during a shift",9)+K12/(J12+K12)</f>
        <v>0.00266192070916144</v>
      </c>
      <c r="M12" s="2">
        <f>IF(J12&lt;1,0,_XLL.RISKBINOMIAL(ROUND(J12,0),N12))</f>
        <v>0</v>
      </c>
      <c r="N12" s="11">
        <f t="shared" si="11"/>
        <v>1.3308466217609727E-05</v>
      </c>
      <c r="O12" s="2">
        <f t="shared" si="12"/>
        <v>68</v>
      </c>
      <c r="P12" s="2">
        <f t="shared" si="13"/>
        <v>0</v>
      </c>
      <c r="Q12" s="10">
        <f>_XLL.RISKOUTPUT(,"Contaminated gloves during a shift",9)+P12/(O12+P12)</f>
        <v>0</v>
      </c>
      <c r="R12" s="2">
        <f>IF(O12&lt;1,0,_XLL.RISKBINOMIAL(ROUND(O12,0),S12))</f>
        <v>0</v>
      </c>
      <c r="S12" s="11">
        <f t="shared" si="5"/>
        <v>0.0002337817386286467</v>
      </c>
      <c r="U12" s="2">
        <f t="shared" si="0"/>
        <v>102</v>
      </c>
      <c r="V12" s="2">
        <f t="shared" si="1"/>
        <v>1224</v>
      </c>
      <c r="W12" s="2">
        <f t="shared" si="2"/>
        <v>68</v>
      </c>
    </row>
    <row r="13" spans="1:23" ht="12.75">
      <c r="A13">
        <v>1</v>
      </c>
      <c r="B13">
        <v>9</v>
      </c>
      <c r="C13" s="2">
        <f t="shared" si="6"/>
        <v>100.61538461538461</v>
      </c>
      <c r="D13" s="2">
        <f t="shared" si="7"/>
        <v>1.3846153846153846</v>
      </c>
      <c r="E13" s="2">
        <f t="shared" si="8"/>
        <v>10.061538461538461</v>
      </c>
      <c r="F13" s="2">
        <f t="shared" si="9"/>
        <v>0.13846153846153847</v>
      </c>
      <c r="G13" s="9">
        <f>_XLL.RISKOUTPUT(,"Contaminated food products during a shift",10)+D13/(C13+D13)</f>
        <v>0.013574660633484163</v>
      </c>
      <c r="H13" s="2">
        <f>IF(C13&lt;1,0,_XLL.RISKBINOMIAL(ROUND(C13,0),I13))</f>
        <v>0</v>
      </c>
      <c r="I13" s="8">
        <f t="shared" si="10"/>
        <v>5.569062148913506E-05</v>
      </c>
      <c r="J13" s="2">
        <f t="shared" si="3"/>
        <v>1220.7418090519864</v>
      </c>
      <c r="K13" s="2">
        <f t="shared" si="4"/>
        <v>3.2581909480136027</v>
      </c>
      <c r="L13" s="10">
        <f>_XLL.RISKOUTPUT(,"Contaminated food contact surfaces during a shift",10)+K13/(J13+K13)</f>
        <v>0.00266192070916144</v>
      </c>
      <c r="M13" s="2">
        <f>IF(J13&lt;1,0,_XLL.RISKBINOMIAL(ROUND(J13,0),N13))</f>
        <v>0</v>
      </c>
      <c r="N13" s="11">
        <f t="shared" si="11"/>
        <v>1.3308466217609727E-05</v>
      </c>
      <c r="O13" s="2">
        <f t="shared" si="12"/>
        <v>68</v>
      </c>
      <c r="P13" s="2">
        <f t="shared" si="13"/>
        <v>0</v>
      </c>
      <c r="Q13" s="10">
        <f>_XLL.RISKOUTPUT(,"Contaminated gloves during a shift",10)+P13/(O13+P13)</f>
        <v>0</v>
      </c>
      <c r="R13" s="2">
        <f>IF(O13&lt;1,0,_XLL.RISKBINOMIAL(ROUND(O13,0),S13))</f>
        <v>0</v>
      </c>
      <c r="S13" s="11">
        <f t="shared" si="5"/>
        <v>0.0002337817386286467</v>
      </c>
      <c r="U13" s="2">
        <f t="shared" si="0"/>
        <v>102</v>
      </c>
      <c r="V13" s="2">
        <f t="shared" si="1"/>
        <v>1224</v>
      </c>
      <c r="W13" s="2">
        <f t="shared" si="2"/>
        <v>68</v>
      </c>
    </row>
    <row r="14" spans="1:23" ht="12.75">
      <c r="A14">
        <v>1</v>
      </c>
      <c r="B14">
        <v>10</v>
      </c>
      <c r="C14" s="2">
        <f t="shared" si="6"/>
        <v>100.61538461538461</v>
      </c>
      <c r="D14" s="2">
        <f t="shared" si="7"/>
        <v>1.3846153846153846</v>
      </c>
      <c r="E14" s="2">
        <f t="shared" si="8"/>
        <v>10.061538461538461</v>
      </c>
      <c r="F14" s="2">
        <f t="shared" si="9"/>
        <v>0.13846153846153847</v>
      </c>
      <c r="G14" s="9">
        <f>_XLL.RISKOUTPUT(,"Contaminated food products during a shift",11)+D14/(C14+D14)</f>
        <v>0.013574660633484163</v>
      </c>
      <c r="H14" s="2">
        <f>IF(C14&lt;1,0,_XLL.RISKBINOMIAL(ROUND(C14,0),I14))</f>
        <v>0</v>
      </c>
      <c r="I14" s="8">
        <f t="shared" si="10"/>
        <v>5.569062148913506E-05</v>
      </c>
      <c r="J14" s="2">
        <f t="shared" si="3"/>
        <v>1220.7418090519864</v>
      </c>
      <c r="K14" s="2">
        <f t="shared" si="4"/>
        <v>3.2581909480136027</v>
      </c>
      <c r="L14" s="10">
        <f>_XLL.RISKOUTPUT(,"Contaminated food contact surfaces during a shift",11)+K14/(J14+K14)</f>
        <v>0.00266192070916144</v>
      </c>
      <c r="M14" s="2">
        <f>IF(J14&lt;1,0,_XLL.RISKBINOMIAL(ROUND(J14,0),N14))</f>
        <v>0</v>
      </c>
      <c r="N14" s="11">
        <f t="shared" si="11"/>
        <v>1.3308466217609727E-05</v>
      </c>
      <c r="O14" s="2">
        <f t="shared" si="12"/>
        <v>68</v>
      </c>
      <c r="P14" s="2">
        <f t="shared" si="13"/>
        <v>0</v>
      </c>
      <c r="Q14" s="10">
        <f>_XLL.RISKOUTPUT(,"Contaminated gloves during a shift",11)+P14/(O14+P14)</f>
        <v>0</v>
      </c>
      <c r="R14" s="2">
        <f>IF(O14&lt;1,0,_XLL.RISKBINOMIAL(ROUND(O14,0),S14))</f>
        <v>0</v>
      </c>
      <c r="S14" s="11">
        <f t="shared" si="5"/>
        <v>0.0002337817386286467</v>
      </c>
      <c r="U14" s="2">
        <f t="shared" si="0"/>
        <v>102</v>
      </c>
      <c r="V14" s="2">
        <f t="shared" si="1"/>
        <v>1224</v>
      </c>
      <c r="W14" s="2">
        <f t="shared" si="2"/>
        <v>68</v>
      </c>
    </row>
    <row r="15" spans="1:23" ht="12.75">
      <c r="A15">
        <v>1</v>
      </c>
      <c r="B15">
        <v>11</v>
      </c>
      <c r="C15" s="2">
        <f t="shared" si="6"/>
        <v>100.61538461538461</v>
      </c>
      <c r="D15" s="2">
        <f t="shared" si="7"/>
        <v>1.3846153846153846</v>
      </c>
      <c r="E15" s="2">
        <f t="shared" si="8"/>
        <v>10.061538461538461</v>
      </c>
      <c r="F15" s="2">
        <f t="shared" si="9"/>
        <v>0.13846153846153847</v>
      </c>
      <c r="G15" s="9">
        <f>_XLL.RISKOUTPUT(,"Contaminated food products during a shift",12)+D15/(C15+D15)</f>
        <v>0.013574660633484163</v>
      </c>
      <c r="H15" s="2">
        <f>IF(C15&lt;1,0,_XLL.RISKBINOMIAL(ROUND(C15,0),I15))</f>
        <v>0</v>
      </c>
      <c r="I15" s="8">
        <f t="shared" si="10"/>
        <v>5.569062148913506E-05</v>
      </c>
      <c r="J15" s="2">
        <f t="shared" si="3"/>
        <v>1220.7418090519864</v>
      </c>
      <c r="K15" s="2">
        <f t="shared" si="4"/>
        <v>3.2581909480136027</v>
      </c>
      <c r="L15" s="10">
        <f>_XLL.RISKOUTPUT(,"Contaminated food contact surfaces during a shift",12)+K15/(J15+K15)</f>
        <v>0.00266192070916144</v>
      </c>
      <c r="M15" s="2">
        <f>IF(J15&lt;1,0,_XLL.RISKBINOMIAL(ROUND(J15,0),N15))</f>
        <v>0</v>
      </c>
      <c r="N15" s="11">
        <f t="shared" si="11"/>
        <v>1.3308466217609727E-05</v>
      </c>
      <c r="O15" s="2">
        <f t="shared" si="12"/>
        <v>68</v>
      </c>
      <c r="P15" s="2">
        <f t="shared" si="13"/>
        <v>0</v>
      </c>
      <c r="Q15" s="10">
        <f>_XLL.RISKOUTPUT(,"Contaminated gloves during a shift",12)+P15/(O15+P15)</f>
        <v>0</v>
      </c>
      <c r="R15" s="2">
        <f>IF(O15&lt;1,0,_XLL.RISKBINOMIAL(ROUND(O15,0),S15))</f>
        <v>0</v>
      </c>
      <c r="S15" s="11">
        <f t="shared" si="5"/>
        <v>0.0002337817386286467</v>
      </c>
      <c r="U15" s="2">
        <f t="shared" si="0"/>
        <v>102</v>
      </c>
      <c r="V15" s="2">
        <f t="shared" si="1"/>
        <v>1224</v>
      </c>
      <c r="W15" s="2">
        <f t="shared" si="2"/>
        <v>68</v>
      </c>
    </row>
    <row r="16" spans="1:23" ht="12.75">
      <c r="A16">
        <v>1</v>
      </c>
      <c r="B16">
        <v>12</v>
      </c>
      <c r="C16" s="2">
        <f t="shared" si="6"/>
        <v>100.61538461538461</v>
      </c>
      <c r="D16" s="2">
        <f t="shared" si="7"/>
        <v>1.3846153846153846</v>
      </c>
      <c r="E16" s="2">
        <f t="shared" si="8"/>
        <v>10.061538461538461</v>
      </c>
      <c r="F16" s="2">
        <f t="shared" si="9"/>
        <v>0.13846153846153847</v>
      </c>
      <c r="G16" s="9">
        <f>_XLL.RISKOUTPUT(,"Contaminated food products during a shift",13)+D16/(C16+D16)</f>
        <v>0.013574660633484163</v>
      </c>
      <c r="H16" s="2">
        <f>IF(C16&lt;1,0,_XLL.RISKBINOMIAL(ROUND(C16,0),I16))</f>
        <v>0</v>
      </c>
      <c r="I16" s="8">
        <f t="shared" si="10"/>
        <v>5.569062148913506E-05</v>
      </c>
      <c r="J16" s="2">
        <f t="shared" si="3"/>
        <v>1220.7418090519864</v>
      </c>
      <c r="K16" s="2">
        <f t="shared" si="4"/>
        <v>3.2581909480136027</v>
      </c>
      <c r="L16" s="10">
        <f>_XLL.RISKOUTPUT(,"Contaminated food contact surfaces during a shift",13)+K16/(J16+K16)</f>
        <v>0.00266192070916144</v>
      </c>
      <c r="M16" s="2">
        <f>IF(J16&lt;1,0,_XLL.RISKBINOMIAL(ROUND(J16,0),N16))</f>
        <v>0</v>
      </c>
      <c r="N16" s="11">
        <f t="shared" si="11"/>
        <v>1.3308466217609727E-05</v>
      </c>
      <c r="O16" s="2">
        <f t="shared" si="12"/>
        <v>68</v>
      </c>
      <c r="P16" s="2">
        <f t="shared" si="13"/>
        <v>0</v>
      </c>
      <c r="Q16" s="10">
        <f>_XLL.RISKOUTPUT(,"Contaminated gloves during a shift",13)+P16/(O16+P16)</f>
        <v>0</v>
      </c>
      <c r="R16" s="2">
        <f>IF(O16&lt;1,0,_XLL.RISKBINOMIAL(ROUND(O16,0),S16))</f>
        <v>0</v>
      </c>
      <c r="S16" s="11">
        <f t="shared" si="5"/>
        <v>0.0002337817386286467</v>
      </c>
      <c r="U16" s="2">
        <f t="shared" si="0"/>
        <v>102</v>
      </c>
      <c r="V16" s="2">
        <f t="shared" si="1"/>
        <v>1224</v>
      </c>
      <c r="W16" s="2">
        <f t="shared" si="2"/>
        <v>68</v>
      </c>
    </row>
    <row r="17" spans="1:23" ht="12.75">
      <c r="A17">
        <v>1</v>
      </c>
      <c r="B17">
        <v>13</v>
      </c>
      <c r="C17" s="2">
        <f t="shared" si="6"/>
        <v>100.61538461538461</v>
      </c>
      <c r="D17" s="2">
        <f t="shared" si="7"/>
        <v>1.3846153846153846</v>
      </c>
      <c r="E17" s="2">
        <f t="shared" si="8"/>
        <v>10.061538461538461</v>
      </c>
      <c r="F17" s="2">
        <f t="shared" si="9"/>
        <v>0.13846153846153847</v>
      </c>
      <c r="G17" s="9">
        <f>_XLL.RISKOUTPUT(,"Contaminated food products during a shift",14)+D17/(C17+D17)</f>
        <v>0.013574660633484163</v>
      </c>
      <c r="H17" s="2">
        <f>IF(C17&lt;1,0,_XLL.RISKBINOMIAL(ROUND(C17,0),I17))</f>
        <v>0</v>
      </c>
      <c r="I17" s="8">
        <f t="shared" si="10"/>
        <v>5.569062148913506E-05</v>
      </c>
      <c r="J17" s="2">
        <f t="shared" si="3"/>
        <v>1220.7418090519864</v>
      </c>
      <c r="K17" s="2">
        <f t="shared" si="4"/>
        <v>3.2581909480136027</v>
      </c>
      <c r="L17" s="10">
        <f>_XLL.RISKOUTPUT(,"Contaminated food contact surfaces during a shift",14)+K17/(J17+K17)</f>
        <v>0.00266192070916144</v>
      </c>
      <c r="M17" s="2">
        <f>IF(J17&lt;1,0,_XLL.RISKBINOMIAL(ROUND(J17,0),N17))</f>
        <v>0</v>
      </c>
      <c r="N17" s="11">
        <f t="shared" si="11"/>
        <v>1.3308466217609727E-05</v>
      </c>
      <c r="O17" s="2">
        <f t="shared" si="12"/>
        <v>68</v>
      </c>
      <c r="P17" s="2">
        <f t="shared" si="13"/>
        <v>0</v>
      </c>
      <c r="Q17" s="10">
        <f>_XLL.RISKOUTPUT(,"Contaminated gloves during a shift",14)+P17/(O17+P17)</f>
        <v>0</v>
      </c>
      <c r="R17" s="2">
        <f>IF(O17&lt;1,0,_XLL.RISKBINOMIAL(ROUND(O17,0),S17))</f>
        <v>0</v>
      </c>
      <c r="S17" s="11">
        <f t="shared" si="5"/>
        <v>0.0002337817386286467</v>
      </c>
      <c r="U17" s="2">
        <f t="shared" si="0"/>
        <v>102</v>
      </c>
      <c r="V17" s="2">
        <f t="shared" si="1"/>
        <v>1224</v>
      </c>
      <c r="W17" s="2">
        <f t="shared" si="2"/>
        <v>68</v>
      </c>
    </row>
    <row r="18" spans="1:23" ht="12.75">
      <c r="A18">
        <v>1</v>
      </c>
      <c r="B18">
        <v>14</v>
      </c>
      <c r="C18" s="2">
        <f t="shared" si="6"/>
        <v>100.61538461538461</v>
      </c>
      <c r="D18" s="2">
        <f t="shared" si="7"/>
        <v>1.3846153846153846</v>
      </c>
      <c r="E18" s="2">
        <f t="shared" si="8"/>
        <v>10.061538461538461</v>
      </c>
      <c r="F18" s="2">
        <f t="shared" si="9"/>
        <v>0.13846153846153847</v>
      </c>
      <c r="G18" s="9">
        <f>_XLL.RISKOUTPUT(,"Contaminated food products during a shift",15)+D18/(C18+D18)</f>
        <v>0.013574660633484163</v>
      </c>
      <c r="H18" s="2">
        <f>IF(C18&lt;1,0,_XLL.RISKBINOMIAL(ROUND(C18,0),I18))</f>
        <v>0</v>
      </c>
      <c r="I18" s="8">
        <f t="shared" si="10"/>
        <v>5.569062148913506E-05</v>
      </c>
      <c r="J18" s="2">
        <f t="shared" si="3"/>
        <v>1220.7418090519864</v>
      </c>
      <c r="K18" s="2">
        <f t="shared" si="4"/>
        <v>3.2581909480136027</v>
      </c>
      <c r="L18" s="10">
        <f>_XLL.RISKOUTPUT(,"Contaminated food contact surfaces during a shift",15)+K18/(J18+K18)</f>
        <v>0.00266192070916144</v>
      </c>
      <c r="M18" s="2">
        <f>IF(J18&lt;1,0,_XLL.RISKBINOMIAL(ROUND(J18,0),N18))</f>
        <v>0</v>
      </c>
      <c r="N18" s="11">
        <f t="shared" si="11"/>
        <v>1.3308466217609727E-05</v>
      </c>
      <c r="O18" s="2">
        <f t="shared" si="12"/>
        <v>68</v>
      </c>
      <c r="P18" s="2">
        <f t="shared" si="13"/>
        <v>0</v>
      </c>
      <c r="Q18" s="10">
        <f>_XLL.RISKOUTPUT(,"Contaminated gloves during a shift",15)+P18/(O18+P18)</f>
        <v>0</v>
      </c>
      <c r="R18" s="2">
        <f>IF(O18&lt;1,0,_XLL.RISKBINOMIAL(ROUND(O18,0),S18))</f>
        <v>0</v>
      </c>
      <c r="S18" s="11">
        <f t="shared" si="5"/>
        <v>0.0002337817386286467</v>
      </c>
      <c r="U18" s="2">
        <f t="shared" si="0"/>
        <v>102</v>
      </c>
      <c r="V18" s="2">
        <f t="shared" si="1"/>
        <v>1224</v>
      </c>
      <c r="W18" s="2">
        <f t="shared" si="2"/>
        <v>68</v>
      </c>
    </row>
    <row r="19" spans="1:23" ht="12.75">
      <c r="A19">
        <v>1</v>
      </c>
      <c r="B19">
        <v>15</v>
      </c>
      <c r="C19" s="2">
        <f t="shared" si="6"/>
        <v>100.61538461538461</v>
      </c>
      <c r="D19" s="2">
        <f t="shared" si="7"/>
        <v>1.3846153846153846</v>
      </c>
      <c r="E19" s="2">
        <f t="shared" si="8"/>
        <v>10.061538461538461</v>
      </c>
      <c r="F19" s="2">
        <f t="shared" si="9"/>
        <v>0.13846153846153847</v>
      </c>
      <c r="G19" s="9">
        <f>_XLL.RISKOUTPUT(,"Contaminated food products during a shift",16)+D19/(C19+D19)</f>
        <v>0.013574660633484163</v>
      </c>
      <c r="H19" s="2">
        <f>IF(C19&lt;1,0,_XLL.RISKBINOMIAL(ROUND(C19,0),I19))</f>
        <v>0</v>
      </c>
      <c r="I19" s="8">
        <f t="shared" si="10"/>
        <v>5.569062148913506E-05</v>
      </c>
      <c r="J19" s="2">
        <f t="shared" si="3"/>
        <v>1220.7418090519864</v>
      </c>
      <c r="K19" s="2">
        <f t="shared" si="4"/>
        <v>3.2581909480136027</v>
      </c>
      <c r="L19" s="10">
        <f>_XLL.RISKOUTPUT(,"Contaminated food contact surfaces during a shift",16)+K19/(J19+K19)</f>
        <v>0.00266192070916144</v>
      </c>
      <c r="M19" s="2">
        <f>IF(J19&lt;1,0,_XLL.RISKBINOMIAL(ROUND(J19,0),N19))</f>
        <v>0</v>
      </c>
      <c r="N19" s="11">
        <f t="shared" si="11"/>
        <v>1.3308466217609727E-05</v>
      </c>
      <c r="O19" s="2">
        <f t="shared" si="12"/>
        <v>68</v>
      </c>
      <c r="P19" s="2">
        <f t="shared" si="13"/>
        <v>0</v>
      </c>
      <c r="Q19" s="10">
        <f>_XLL.RISKOUTPUT(,"Contaminated gloves during a shift",16)+P19/(O19+P19)</f>
        <v>0</v>
      </c>
      <c r="R19" s="2">
        <f>IF(O19&lt;1,0,_XLL.RISKBINOMIAL(ROUND(O19,0),S19))</f>
        <v>0</v>
      </c>
      <c r="S19" s="11">
        <f t="shared" si="5"/>
        <v>0.0002337817386286467</v>
      </c>
      <c r="U19" s="2">
        <f t="shared" si="0"/>
        <v>102</v>
      </c>
      <c r="V19" s="2">
        <f t="shared" si="1"/>
        <v>1224</v>
      </c>
      <c r="W19" s="2">
        <f t="shared" si="2"/>
        <v>68</v>
      </c>
    </row>
    <row r="20" spans="1:23" ht="12.75">
      <c r="A20">
        <v>1</v>
      </c>
      <c r="B20">
        <v>16</v>
      </c>
      <c r="C20" s="2">
        <f t="shared" si="6"/>
        <v>100.61538461538461</v>
      </c>
      <c r="D20" s="2">
        <f t="shared" si="7"/>
        <v>1.3846153846153846</v>
      </c>
      <c r="E20" s="2">
        <f t="shared" si="8"/>
        <v>10.061538461538461</v>
      </c>
      <c r="F20" s="2">
        <f t="shared" si="9"/>
        <v>0.13846153846153847</v>
      </c>
      <c r="G20" s="9">
        <f>_XLL.RISKOUTPUT(,"Contaminated food products during a shift",17)+D20/(C20+D20)</f>
        <v>0.013574660633484163</v>
      </c>
      <c r="H20" s="2">
        <f>IF(C20&lt;1,0,_XLL.RISKBINOMIAL(ROUND(C20,0),I20))</f>
        <v>0</v>
      </c>
      <c r="I20" s="8">
        <f t="shared" si="10"/>
        <v>5.569062148913506E-05</v>
      </c>
      <c r="J20" s="2">
        <f t="shared" si="3"/>
        <v>1220.7418090519864</v>
      </c>
      <c r="K20" s="2">
        <f t="shared" si="4"/>
        <v>3.2581909480136027</v>
      </c>
      <c r="L20" s="10">
        <f>_XLL.RISKOUTPUT(,"Contaminated food contact surfaces during a shift",17)+K20/(J20+K20)</f>
        <v>0.00266192070916144</v>
      </c>
      <c r="M20" s="2">
        <f>IF(J20&lt;1,0,_XLL.RISKBINOMIAL(ROUND(J20,0),N20))</f>
        <v>0</v>
      </c>
      <c r="N20" s="11">
        <f t="shared" si="11"/>
        <v>1.3308466217609727E-05</v>
      </c>
      <c r="O20" s="2">
        <f t="shared" si="12"/>
        <v>68</v>
      </c>
      <c r="P20" s="2">
        <f t="shared" si="13"/>
        <v>0</v>
      </c>
      <c r="Q20" s="10">
        <f>_XLL.RISKOUTPUT(,"Contaminated gloves during a shift",17)+P20/(O20+P20)</f>
        <v>0</v>
      </c>
      <c r="R20" s="2">
        <f>IF(O20&lt;1,0,_XLL.RISKBINOMIAL(ROUND(O20,0),S20))</f>
        <v>0</v>
      </c>
      <c r="S20" s="11">
        <f t="shared" si="5"/>
        <v>0.0002337817386286467</v>
      </c>
      <c r="U20" s="2">
        <f t="shared" si="0"/>
        <v>102</v>
      </c>
      <c r="V20" s="2">
        <f t="shared" si="1"/>
        <v>1224</v>
      </c>
      <c r="W20" s="2">
        <f t="shared" si="2"/>
        <v>68</v>
      </c>
    </row>
    <row r="21" spans="1:23" ht="12.75">
      <c r="A21">
        <v>1</v>
      </c>
      <c r="B21">
        <v>17</v>
      </c>
      <c r="C21" s="2">
        <f t="shared" si="6"/>
        <v>100.61538461538461</v>
      </c>
      <c r="D21" s="2">
        <f t="shared" si="7"/>
        <v>1.3846153846153846</v>
      </c>
      <c r="E21" s="2">
        <f t="shared" si="8"/>
        <v>10.061538461538461</v>
      </c>
      <c r="F21" s="2">
        <f t="shared" si="9"/>
        <v>0.13846153846153847</v>
      </c>
      <c r="G21" s="9">
        <f>_XLL.RISKOUTPUT(,"Contaminated food products during a shift",18)+D21/(C21+D21)</f>
        <v>0.013574660633484163</v>
      </c>
      <c r="H21" s="2">
        <f>IF(C21&lt;1,0,_XLL.RISKBINOMIAL(ROUND(C21,0),I21))</f>
        <v>0</v>
      </c>
      <c r="I21" s="8">
        <f t="shared" si="10"/>
        <v>5.569062148913506E-05</v>
      </c>
      <c r="J21" s="2">
        <f t="shared" si="3"/>
        <v>1220.7418090519864</v>
      </c>
      <c r="K21" s="2">
        <f t="shared" si="4"/>
        <v>3.2581909480136027</v>
      </c>
      <c r="L21" s="10">
        <f>_XLL.RISKOUTPUT(,"Contaminated food contact surfaces during a shift",18)+K21/(J21+K21)</f>
        <v>0.00266192070916144</v>
      </c>
      <c r="M21" s="2">
        <f>IF(J21&lt;1,0,_XLL.RISKBINOMIAL(ROUND(J21,0),N21))</f>
        <v>0</v>
      </c>
      <c r="N21" s="11">
        <f t="shared" si="11"/>
        <v>1.3308466217609727E-05</v>
      </c>
      <c r="O21" s="2">
        <f t="shared" si="12"/>
        <v>68</v>
      </c>
      <c r="P21" s="2">
        <f t="shared" si="13"/>
        <v>0</v>
      </c>
      <c r="Q21" s="10">
        <f>_XLL.RISKOUTPUT(,"Contaminated gloves during a shift",18)+P21/(O21+P21)</f>
        <v>0</v>
      </c>
      <c r="R21" s="2">
        <f>IF(O21&lt;1,0,_XLL.RISKBINOMIAL(ROUND(O21,0),S21))</f>
        <v>0</v>
      </c>
      <c r="S21" s="11">
        <f t="shared" si="5"/>
        <v>0.0002337817386286467</v>
      </c>
      <c r="U21" s="2">
        <f t="shared" si="0"/>
        <v>102</v>
      </c>
      <c r="V21" s="2">
        <f t="shared" si="1"/>
        <v>1224</v>
      </c>
      <c r="W21" s="2">
        <f t="shared" si="2"/>
        <v>68</v>
      </c>
    </row>
    <row r="22" spans="1:23" ht="12.75">
      <c r="A22">
        <v>1</v>
      </c>
      <c r="B22">
        <v>18</v>
      </c>
      <c r="C22" s="2">
        <f t="shared" si="6"/>
        <v>100.61538461538461</v>
      </c>
      <c r="D22" s="2">
        <f t="shared" si="7"/>
        <v>1.3846153846153846</v>
      </c>
      <c r="E22" s="2">
        <f t="shared" si="8"/>
        <v>10.061538461538461</v>
      </c>
      <c r="F22" s="2">
        <f t="shared" si="9"/>
        <v>0.13846153846153847</v>
      </c>
      <c r="G22" s="9">
        <f>_XLL.RISKOUTPUT(,"Contaminated food products during a shift",19)+D22/(C22+D22)</f>
        <v>0.013574660633484163</v>
      </c>
      <c r="H22" s="2">
        <f>IF(C22&lt;1,0,_XLL.RISKBINOMIAL(ROUND(C22,0),I22))</f>
        <v>0</v>
      </c>
      <c r="I22" s="8">
        <f t="shared" si="10"/>
        <v>5.569062148913506E-05</v>
      </c>
      <c r="J22" s="2">
        <f t="shared" si="3"/>
        <v>1220.7418090519864</v>
      </c>
      <c r="K22" s="2">
        <f t="shared" si="4"/>
        <v>3.2581909480136027</v>
      </c>
      <c r="L22" s="10">
        <f>_XLL.RISKOUTPUT(,"Contaminated food contact surfaces during a shift",19)+K22/(J22+K22)</f>
        <v>0.00266192070916144</v>
      </c>
      <c r="M22" s="2">
        <f>IF(J22&lt;1,0,_XLL.RISKBINOMIAL(ROUND(J22,0),N22))</f>
        <v>0</v>
      </c>
      <c r="N22" s="11">
        <f t="shared" si="11"/>
        <v>1.3308466217609727E-05</v>
      </c>
      <c r="O22" s="2">
        <f t="shared" si="12"/>
        <v>68</v>
      </c>
      <c r="P22" s="2">
        <f t="shared" si="13"/>
        <v>0</v>
      </c>
      <c r="Q22" s="10">
        <f>_XLL.RISKOUTPUT(,"Contaminated gloves during a shift",19)+P22/(O22+P22)</f>
        <v>0</v>
      </c>
      <c r="R22" s="2">
        <f>IF(O22&lt;1,0,_XLL.RISKBINOMIAL(ROUND(O22,0),S22))</f>
        <v>0</v>
      </c>
      <c r="S22" s="11">
        <f t="shared" si="5"/>
        <v>0.0002337817386286467</v>
      </c>
      <c r="U22" s="2">
        <f t="shared" si="0"/>
        <v>102</v>
      </c>
      <c r="V22" s="2">
        <f t="shared" si="1"/>
        <v>1224</v>
      </c>
      <c r="W22" s="2">
        <f t="shared" si="2"/>
        <v>68</v>
      </c>
    </row>
    <row r="23" spans="1:23" ht="12.75">
      <c r="A23">
        <v>1</v>
      </c>
      <c r="B23">
        <v>19</v>
      </c>
      <c r="C23" s="2">
        <f t="shared" si="6"/>
        <v>100.61538461538461</v>
      </c>
      <c r="D23" s="2">
        <f t="shared" si="7"/>
        <v>1.3846153846153846</v>
      </c>
      <c r="E23" s="2">
        <f t="shared" si="8"/>
        <v>10.061538461538461</v>
      </c>
      <c r="F23" s="2">
        <f t="shared" si="9"/>
        <v>0.13846153846153847</v>
      </c>
      <c r="G23" s="9">
        <f>_XLL.RISKOUTPUT(,"Contaminated food products during a shift",20)+D23/(C23+D23)</f>
        <v>0.013574660633484163</v>
      </c>
      <c r="H23" s="2">
        <f>IF(C23&lt;1,0,_XLL.RISKBINOMIAL(ROUND(C23,0),I23))</f>
        <v>0</v>
      </c>
      <c r="I23" s="8">
        <f t="shared" si="10"/>
        <v>5.569062148913506E-05</v>
      </c>
      <c r="J23" s="2">
        <f t="shared" si="3"/>
        <v>1220.7418090519864</v>
      </c>
      <c r="K23" s="2">
        <f t="shared" si="4"/>
        <v>3.2581909480136027</v>
      </c>
      <c r="L23" s="10">
        <f>_XLL.RISKOUTPUT(,"Contaminated food contact surfaces during a shift",20)+K23/(J23+K23)</f>
        <v>0.00266192070916144</v>
      </c>
      <c r="M23" s="2">
        <f>IF(J23&lt;1,0,_XLL.RISKBINOMIAL(ROUND(J23,0),N23))</f>
        <v>0</v>
      </c>
      <c r="N23" s="11">
        <f t="shared" si="11"/>
        <v>1.3308466217609727E-05</v>
      </c>
      <c r="O23" s="2">
        <f t="shared" si="12"/>
        <v>68</v>
      </c>
      <c r="P23" s="2">
        <f t="shared" si="13"/>
        <v>0</v>
      </c>
      <c r="Q23" s="10">
        <f>_XLL.RISKOUTPUT(,"Contaminated gloves during a shift",20)+P23/(O23+P23)</f>
        <v>0</v>
      </c>
      <c r="R23" s="2">
        <f>IF(O23&lt;1,0,_XLL.RISKBINOMIAL(ROUND(O23,0),S23))</f>
        <v>0</v>
      </c>
      <c r="S23" s="11">
        <f t="shared" si="5"/>
        <v>0.0002337817386286467</v>
      </c>
      <c r="U23" s="2">
        <f t="shared" si="0"/>
        <v>102</v>
      </c>
      <c r="V23" s="2">
        <f t="shared" si="1"/>
        <v>1224</v>
      </c>
      <c r="W23" s="2">
        <f t="shared" si="2"/>
        <v>68</v>
      </c>
    </row>
    <row r="24" spans="1:23" ht="12.75">
      <c r="A24">
        <v>1</v>
      </c>
      <c r="B24">
        <v>20</v>
      </c>
      <c r="C24" s="2">
        <f t="shared" si="6"/>
        <v>100.61538461538461</v>
      </c>
      <c r="D24" s="2">
        <f t="shared" si="7"/>
        <v>1.3846153846153846</v>
      </c>
      <c r="E24" s="2">
        <f t="shared" si="8"/>
        <v>10.061538461538461</v>
      </c>
      <c r="F24" s="2">
        <f t="shared" si="9"/>
        <v>0.13846153846153847</v>
      </c>
      <c r="G24" s="9">
        <f>_XLL.RISKOUTPUT(,"Contaminated food products during a shift",21)+D24/(C24+D24)</f>
        <v>0.013574660633484163</v>
      </c>
      <c r="H24" s="2">
        <f>IF(C24&lt;1,0,_XLL.RISKBINOMIAL(ROUND(C24,0),I24))</f>
        <v>0</v>
      </c>
      <c r="I24" s="8">
        <f t="shared" si="10"/>
        <v>5.569062148913506E-05</v>
      </c>
      <c r="J24" s="2">
        <f t="shared" si="3"/>
        <v>1220.7418090519864</v>
      </c>
      <c r="K24" s="2">
        <f t="shared" si="4"/>
        <v>3.2581909480136027</v>
      </c>
      <c r="L24" s="10">
        <f>_XLL.RISKOUTPUT(,"Contaminated food contact surfaces during a shift",21)+K24/(J24+K24)</f>
        <v>0.00266192070916144</v>
      </c>
      <c r="M24" s="2">
        <f>IF(J24&lt;1,0,_XLL.RISKBINOMIAL(ROUND(J24,0),N24))</f>
        <v>0</v>
      </c>
      <c r="N24" s="11">
        <f t="shared" si="11"/>
        <v>1.3308466217609727E-05</v>
      </c>
      <c r="O24" s="2">
        <f t="shared" si="12"/>
        <v>68</v>
      </c>
      <c r="P24" s="2">
        <f t="shared" si="13"/>
        <v>0</v>
      </c>
      <c r="Q24" s="10">
        <f>_XLL.RISKOUTPUT(,"Contaminated gloves during a shift",21)+P24/(O24+P24)</f>
        <v>0</v>
      </c>
      <c r="R24" s="2">
        <f>IF(O24&lt;1,0,_XLL.RISKBINOMIAL(ROUND(O24,0),S24))</f>
        <v>0</v>
      </c>
      <c r="S24" s="11">
        <f t="shared" si="5"/>
        <v>0.0002337817386286467</v>
      </c>
      <c r="U24" s="2">
        <f t="shared" si="0"/>
        <v>102</v>
      </c>
      <c r="V24" s="2">
        <f t="shared" si="1"/>
        <v>1224</v>
      </c>
      <c r="W24" s="2">
        <f t="shared" si="2"/>
        <v>68</v>
      </c>
    </row>
    <row r="25" spans="1:23" ht="12.75">
      <c r="A25">
        <v>1</v>
      </c>
      <c r="B25">
        <v>21</v>
      </c>
      <c r="C25" s="2">
        <f t="shared" si="6"/>
        <v>100.61538461538461</v>
      </c>
      <c r="D25" s="2">
        <f t="shared" si="7"/>
        <v>1.3846153846153846</v>
      </c>
      <c r="E25" s="2">
        <f t="shared" si="8"/>
        <v>10.061538461538461</v>
      </c>
      <c r="F25" s="2">
        <f t="shared" si="9"/>
        <v>0.13846153846153847</v>
      </c>
      <c r="G25" s="9">
        <f>_XLL.RISKOUTPUT(,"Contaminated food products during a shift",22)+D25/(C25+D25)</f>
        <v>0.013574660633484163</v>
      </c>
      <c r="H25" s="2">
        <f>IF(C25&lt;1,0,_XLL.RISKBINOMIAL(ROUND(C25,0),I25))</f>
        <v>0</v>
      </c>
      <c r="I25" s="8">
        <f t="shared" si="10"/>
        <v>5.569062148913506E-05</v>
      </c>
      <c r="J25" s="2">
        <f t="shared" si="3"/>
        <v>1220.7418090519864</v>
      </c>
      <c r="K25" s="2">
        <f t="shared" si="4"/>
        <v>3.2581909480136027</v>
      </c>
      <c r="L25" s="10">
        <f>_XLL.RISKOUTPUT(,"Contaminated food contact surfaces during a shift",22)+K25/(J25+K25)</f>
        <v>0.00266192070916144</v>
      </c>
      <c r="M25" s="2">
        <f>IF(J25&lt;1,0,_XLL.RISKBINOMIAL(ROUND(J25,0),N25))</f>
        <v>0</v>
      </c>
      <c r="N25" s="11">
        <f t="shared" si="11"/>
        <v>1.3308466217609727E-05</v>
      </c>
      <c r="O25" s="2">
        <f t="shared" si="12"/>
        <v>68</v>
      </c>
      <c r="P25" s="2">
        <f t="shared" si="13"/>
        <v>0</v>
      </c>
      <c r="Q25" s="10">
        <f>_XLL.RISKOUTPUT(,"Contaminated gloves during a shift",22)+P25/(O25+P25)</f>
        <v>0</v>
      </c>
      <c r="R25" s="2">
        <f>IF(O25&lt;1,0,_XLL.RISKBINOMIAL(ROUND(O25,0),S25))</f>
        <v>0</v>
      </c>
      <c r="S25" s="11">
        <f t="shared" si="5"/>
        <v>0.0002337817386286467</v>
      </c>
      <c r="U25" s="2">
        <f t="shared" si="0"/>
        <v>102</v>
      </c>
      <c r="V25" s="2">
        <f t="shared" si="1"/>
        <v>1224</v>
      </c>
      <c r="W25" s="2">
        <f t="shared" si="2"/>
        <v>68</v>
      </c>
    </row>
    <row r="26" spans="1:23" ht="12.75" hidden="1">
      <c r="A26">
        <v>1</v>
      </c>
      <c r="B26">
        <v>22</v>
      </c>
      <c r="C26" s="2">
        <f t="shared" si="6"/>
        <v>100.61538461538461</v>
      </c>
      <c r="D26" s="2">
        <f t="shared" si="7"/>
        <v>1.3846153846153846</v>
      </c>
      <c r="E26" s="2">
        <f t="shared" si="8"/>
        <v>10.061538461538461</v>
      </c>
      <c r="F26" s="2">
        <f t="shared" si="9"/>
        <v>0.13846153846153847</v>
      </c>
      <c r="G26" s="9">
        <f>_XLL.RISKOUTPUT(,"Contaminated food products during a shift",23)+D26/(C26+D26)</f>
        <v>0.013574660633484163</v>
      </c>
      <c r="H26" s="2">
        <f>IF(C26&lt;1,0,_XLL.RISKBINOMIAL(ROUND(C26,0),I26))</f>
        <v>0</v>
      </c>
      <c r="I26" s="8">
        <f t="shared" si="10"/>
        <v>5.569062148913506E-05</v>
      </c>
      <c r="J26" s="2">
        <f t="shared" si="3"/>
        <v>1220.7418090519864</v>
      </c>
      <c r="K26" s="2">
        <f t="shared" si="4"/>
        <v>3.2581909480136027</v>
      </c>
      <c r="L26" s="10">
        <f>_XLL.RISKOUTPUT(,"Contaminated food contact surfaces during a shift",23)+K26/(J26+K26)</f>
        <v>0.00266192070916144</v>
      </c>
      <c r="M26" s="2">
        <f>IF(J26&lt;1,0,_XLL.RISKBINOMIAL(ROUND(J26,0),N26))</f>
        <v>0</v>
      </c>
      <c r="N26" s="11">
        <f t="shared" si="11"/>
        <v>1.3308466217609727E-05</v>
      </c>
      <c r="O26" s="2">
        <f t="shared" si="12"/>
        <v>68</v>
      </c>
      <c r="P26" s="2">
        <f t="shared" si="13"/>
        <v>0</v>
      </c>
      <c r="Q26" s="10">
        <f>_XLL.RISKOUTPUT(,"Contaminated gloves during a shift",23)+P26/(O26+P26)</f>
        <v>0</v>
      </c>
      <c r="R26" s="2">
        <f>IF(O26&lt;1,0,_XLL.RISKBINOMIAL(ROUND(O26,0),S26))</f>
        <v>0</v>
      </c>
      <c r="S26" s="11">
        <f t="shared" si="5"/>
        <v>0.0002337817386286467</v>
      </c>
      <c r="U26" s="2">
        <f t="shared" si="0"/>
        <v>102</v>
      </c>
      <c r="V26" s="2">
        <f t="shared" si="1"/>
        <v>1224</v>
      </c>
      <c r="W26" s="2">
        <f t="shared" si="2"/>
        <v>68</v>
      </c>
    </row>
    <row r="27" spans="1:23" ht="12.75">
      <c r="A27">
        <v>1</v>
      </c>
      <c r="B27">
        <v>23</v>
      </c>
      <c r="C27" s="2">
        <f t="shared" si="6"/>
        <v>100.61538461538461</v>
      </c>
      <c r="D27" s="2">
        <f t="shared" si="7"/>
        <v>1.3846153846153846</v>
      </c>
      <c r="E27" s="2">
        <f t="shared" si="8"/>
        <v>10.061538461538461</v>
      </c>
      <c r="F27" s="2">
        <f t="shared" si="9"/>
        <v>0.13846153846153847</v>
      </c>
      <c r="G27" s="9">
        <f>_XLL.RISKOUTPUT(,"Contaminated food products during a shift",24)+D27/(C27+D27)</f>
        <v>0.013574660633484163</v>
      </c>
      <c r="H27" s="2">
        <f>IF(C27&lt;1,0,_XLL.RISKBINOMIAL(ROUND(C27,0),I27))</f>
        <v>0</v>
      </c>
      <c r="I27" s="8">
        <f t="shared" si="10"/>
        <v>5.569062148913506E-05</v>
      </c>
      <c r="J27" s="2">
        <f t="shared" si="3"/>
        <v>1220.7418090519864</v>
      </c>
      <c r="K27" s="2">
        <f t="shared" si="4"/>
        <v>3.2581909480136027</v>
      </c>
      <c r="L27" s="10">
        <f>_XLL.RISKOUTPUT(,"Contaminated food contact surfaces during a shift",24)+K27/(J27+K27)</f>
        <v>0.00266192070916144</v>
      </c>
      <c r="M27" s="2">
        <f>IF(J27&lt;1,0,_XLL.RISKBINOMIAL(ROUND(J27,0),N27))</f>
        <v>0</v>
      </c>
      <c r="N27" s="11">
        <f t="shared" si="11"/>
        <v>1.3308466217609727E-05</v>
      </c>
      <c r="O27" s="2">
        <f t="shared" si="12"/>
        <v>68</v>
      </c>
      <c r="P27" s="2">
        <f t="shared" si="13"/>
        <v>0</v>
      </c>
      <c r="Q27" s="10">
        <f>_XLL.RISKOUTPUT(,"Contaminated gloves during a shift",24)+P27/(O27+P27)</f>
        <v>0</v>
      </c>
      <c r="R27" s="2">
        <f>IF(O27&lt;1,0,_XLL.RISKBINOMIAL(ROUND(O27,0),S27))</f>
        <v>0</v>
      </c>
      <c r="S27" s="11">
        <f t="shared" si="5"/>
        <v>0.0002337817386286467</v>
      </c>
      <c r="U27" s="2">
        <f t="shared" si="0"/>
        <v>102</v>
      </c>
      <c r="V27" s="2">
        <f t="shared" si="1"/>
        <v>1224</v>
      </c>
      <c r="W27" s="2">
        <f t="shared" si="2"/>
        <v>68</v>
      </c>
    </row>
    <row r="28" spans="1:23" ht="12.75">
      <c r="A28">
        <v>1</v>
      </c>
      <c r="B28">
        <v>24</v>
      </c>
      <c r="C28" s="2">
        <f t="shared" si="6"/>
        <v>100.61538461538461</v>
      </c>
      <c r="D28" s="2">
        <f t="shared" si="7"/>
        <v>1.3846153846153846</v>
      </c>
      <c r="E28" s="2">
        <f t="shared" si="8"/>
        <v>10.061538461538461</v>
      </c>
      <c r="F28" s="2">
        <f t="shared" si="9"/>
        <v>0.13846153846153847</v>
      </c>
      <c r="G28" s="9">
        <f>_XLL.RISKOUTPUT(,"Contaminated food products during a shift",25)+D28/(C28+D28)</f>
        <v>0.013574660633484163</v>
      </c>
      <c r="H28" s="2">
        <f>IF(C28&lt;1,0,_XLL.RISKBINOMIAL(ROUND(C28,0),I28))</f>
        <v>0</v>
      </c>
      <c r="I28" s="8">
        <f t="shared" si="10"/>
        <v>5.569062148913506E-05</v>
      </c>
      <c r="J28" s="2">
        <f t="shared" si="3"/>
        <v>1220.7418090519864</v>
      </c>
      <c r="K28" s="2">
        <f t="shared" si="4"/>
        <v>3.2581909480136027</v>
      </c>
      <c r="L28" s="10">
        <f>_XLL.RISKOUTPUT(,"Contaminated food contact surfaces during a shift",25)+K28/(J28+K28)</f>
        <v>0.00266192070916144</v>
      </c>
      <c r="M28" s="2">
        <f>IF(J28&lt;1,0,_XLL.RISKBINOMIAL(ROUND(J28,0),N28))</f>
        <v>0</v>
      </c>
      <c r="N28" s="11">
        <f t="shared" si="11"/>
        <v>1.3308466217609727E-05</v>
      </c>
      <c r="O28" s="2">
        <f t="shared" si="12"/>
        <v>68</v>
      </c>
      <c r="P28" s="2">
        <f t="shared" si="13"/>
        <v>0</v>
      </c>
      <c r="Q28" s="10">
        <f>_XLL.RISKOUTPUT(,"Contaminated gloves during a shift",25)+P28/(O28+P28)</f>
        <v>0</v>
      </c>
      <c r="R28" s="2">
        <f>IF(O28&lt;1,0,_XLL.RISKBINOMIAL(ROUND(O28,0),S28))</f>
        <v>0</v>
      </c>
      <c r="S28" s="11">
        <f t="shared" si="5"/>
        <v>0.0002337817386286467</v>
      </c>
      <c r="U28" s="2">
        <f t="shared" si="0"/>
        <v>102</v>
      </c>
      <c r="V28" s="2">
        <f t="shared" si="1"/>
        <v>1224</v>
      </c>
      <c r="W28" s="2">
        <f t="shared" si="2"/>
        <v>68</v>
      </c>
    </row>
    <row r="29" spans="1:23" ht="12.75">
      <c r="A29">
        <v>1</v>
      </c>
      <c r="B29">
        <v>25</v>
      </c>
      <c r="C29" s="2">
        <f t="shared" si="6"/>
        <v>100.61538461538461</v>
      </c>
      <c r="D29" s="2">
        <f t="shared" si="7"/>
        <v>1.3846153846153846</v>
      </c>
      <c r="E29" s="2">
        <f t="shared" si="8"/>
        <v>10.061538461538461</v>
      </c>
      <c r="F29" s="2">
        <f t="shared" si="9"/>
        <v>0.13846153846153847</v>
      </c>
      <c r="G29" s="9">
        <f>_XLL.RISKOUTPUT(,"Contaminated food products during a shift",26)+D29/(C29+D29)</f>
        <v>0.013574660633484163</v>
      </c>
      <c r="H29" s="2">
        <f>IF(C29&lt;1,0,_XLL.RISKBINOMIAL(ROUND(C29,0),I29))</f>
        <v>0</v>
      </c>
      <c r="I29" s="8">
        <f t="shared" si="10"/>
        <v>5.569062148913506E-05</v>
      </c>
      <c r="J29" s="2">
        <f t="shared" si="3"/>
        <v>1220.7418090519864</v>
      </c>
      <c r="K29" s="2">
        <f t="shared" si="4"/>
        <v>3.2581909480136027</v>
      </c>
      <c r="L29" s="10">
        <f>_XLL.RISKOUTPUT(,"Contaminated food contact surfaces during a shift",26)+K29/(J29+K29)</f>
        <v>0.00266192070916144</v>
      </c>
      <c r="M29" s="2">
        <f>IF(J29&lt;1,0,_XLL.RISKBINOMIAL(ROUND(J29,0),N29))</f>
        <v>0</v>
      </c>
      <c r="N29" s="11">
        <f t="shared" si="11"/>
        <v>1.3308466217609727E-05</v>
      </c>
      <c r="O29" s="2">
        <f t="shared" si="12"/>
        <v>68</v>
      </c>
      <c r="P29" s="2">
        <f t="shared" si="13"/>
        <v>0</v>
      </c>
      <c r="Q29" s="10">
        <f>_XLL.RISKOUTPUT(,"Contaminated gloves during a shift",26)+P29/(O29+P29)</f>
        <v>0</v>
      </c>
      <c r="R29" s="2">
        <f>IF(O29&lt;1,0,_XLL.RISKBINOMIAL(ROUND(O29,0),S29))</f>
        <v>0</v>
      </c>
      <c r="S29" s="11">
        <f t="shared" si="5"/>
        <v>0.0002337817386286467</v>
      </c>
      <c r="U29" s="2">
        <f t="shared" si="0"/>
        <v>102</v>
      </c>
      <c r="V29" s="2">
        <f t="shared" si="1"/>
        <v>1224</v>
      </c>
      <c r="W29" s="2">
        <f t="shared" si="2"/>
        <v>68</v>
      </c>
    </row>
    <row r="30" spans="1:23" ht="12.75">
      <c r="A30">
        <v>1</v>
      </c>
      <c r="B30">
        <v>26</v>
      </c>
      <c r="C30" s="2">
        <f t="shared" si="6"/>
        <v>100.61538461538461</v>
      </c>
      <c r="D30" s="2">
        <f t="shared" si="7"/>
        <v>1.3846153846153846</v>
      </c>
      <c r="E30" s="2">
        <f t="shared" si="8"/>
        <v>10.061538461538461</v>
      </c>
      <c r="F30" s="2">
        <f t="shared" si="9"/>
        <v>0.13846153846153847</v>
      </c>
      <c r="G30" s="9">
        <f>_XLL.RISKOUTPUT(,"Contaminated food products during a shift",27)+D30/(C30+D30)</f>
        <v>0.013574660633484163</v>
      </c>
      <c r="H30" s="2">
        <f>IF(C30&lt;1,0,_XLL.RISKBINOMIAL(ROUND(C30,0),I30))</f>
        <v>0</v>
      </c>
      <c r="I30" s="8">
        <f t="shared" si="10"/>
        <v>5.569062148913506E-05</v>
      </c>
      <c r="J30" s="2">
        <f t="shared" si="3"/>
        <v>1220.7418090519864</v>
      </c>
      <c r="K30" s="2">
        <f t="shared" si="4"/>
        <v>3.2581909480136027</v>
      </c>
      <c r="L30" s="10">
        <f>_XLL.RISKOUTPUT(,"Contaminated food contact surfaces during a shift",27)+K30/(J30+K30)</f>
        <v>0.00266192070916144</v>
      </c>
      <c r="M30" s="2">
        <f>IF(J30&lt;1,0,_XLL.RISKBINOMIAL(ROUND(J30,0),N30))</f>
        <v>0</v>
      </c>
      <c r="N30" s="11">
        <f t="shared" si="11"/>
        <v>1.3308466217609727E-05</v>
      </c>
      <c r="O30" s="2">
        <f t="shared" si="12"/>
        <v>68</v>
      </c>
      <c r="P30" s="2">
        <f t="shared" si="13"/>
        <v>0</v>
      </c>
      <c r="Q30" s="10">
        <f>_XLL.RISKOUTPUT(,"Contaminated gloves during a shift",27)+P30/(O30+P30)</f>
        <v>0</v>
      </c>
      <c r="R30" s="2">
        <f>IF(O30&lt;1,0,_XLL.RISKBINOMIAL(ROUND(O30,0),S30))</f>
        <v>0</v>
      </c>
      <c r="S30" s="11">
        <f t="shared" si="5"/>
        <v>0.0002337817386286467</v>
      </c>
      <c r="U30" s="2">
        <f t="shared" si="0"/>
        <v>102</v>
      </c>
      <c r="V30" s="2">
        <f t="shared" si="1"/>
        <v>1224</v>
      </c>
      <c r="W30" s="2">
        <f t="shared" si="2"/>
        <v>68</v>
      </c>
    </row>
    <row r="31" spans="1:23" ht="12.75">
      <c r="A31">
        <v>1</v>
      </c>
      <c r="B31">
        <v>27</v>
      </c>
      <c r="C31" s="2">
        <f t="shared" si="6"/>
        <v>100.61538461538461</v>
      </c>
      <c r="D31" s="2">
        <f t="shared" si="7"/>
        <v>1.3846153846153846</v>
      </c>
      <c r="E31" s="2">
        <f t="shared" si="8"/>
        <v>10.061538461538461</v>
      </c>
      <c r="F31" s="2">
        <f t="shared" si="9"/>
        <v>0.13846153846153847</v>
      </c>
      <c r="G31" s="9">
        <f>_XLL.RISKOUTPUT(,"Contaminated food products during a shift",28)+D31/(C31+D31)</f>
        <v>0.013574660633484163</v>
      </c>
      <c r="H31" s="2">
        <f>IF(C31&lt;1,0,_XLL.RISKBINOMIAL(ROUND(C31,0),I31))</f>
        <v>0</v>
      </c>
      <c r="I31" s="8">
        <f t="shared" si="10"/>
        <v>5.569062148913506E-05</v>
      </c>
      <c r="J31" s="2">
        <f t="shared" si="3"/>
        <v>1220.7418090519864</v>
      </c>
      <c r="K31" s="2">
        <f t="shared" si="4"/>
        <v>3.2581909480136027</v>
      </c>
      <c r="L31" s="10">
        <f>_XLL.RISKOUTPUT(,"Contaminated food contact surfaces during a shift",28)+K31/(J31+K31)</f>
        <v>0.00266192070916144</v>
      </c>
      <c r="M31" s="2">
        <f>IF(J31&lt;1,0,_XLL.RISKBINOMIAL(ROUND(J31,0),N31))</f>
        <v>0</v>
      </c>
      <c r="N31" s="11">
        <f t="shared" si="11"/>
        <v>1.3308466217609727E-05</v>
      </c>
      <c r="O31" s="2">
        <f t="shared" si="12"/>
        <v>68</v>
      </c>
      <c r="P31" s="2">
        <f t="shared" si="13"/>
        <v>0</v>
      </c>
      <c r="Q31" s="10">
        <f>_XLL.RISKOUTPUT(,"Contaminated gloves during a shift",28)+P31/(O31+P31)</f>
        <v>0</v>
      </c>
      <c r="R31" s="2">
        <f>IF(O31&lt;1,0,_XLL.RISKBINOMIAL(ROUND(O31,0),S31))</f>
        <v>0</v>
      </c>
      <c r="S31" s="11">
        <f t="shared" si="5"/>
        <v>0.0002337817386286467</v>
      </c>
      <c r="U31" s="2">
        <f t="shared" si="0"/>
        <v>102</v>
      </c>
      <c r="V31" s="2">
        <f t="shared" si="1"/>
        <v>1224</v>
      </c>
      <c r="W31" s="2">
        <f t="shared" si="2"/>
        <v>68</v>
      </c>
    </row>
    <row r="32" spans="1:23" ht="12.75">
      <c r="A32">
        <v>1</v>
      </c>
      <c r="B32">
        <v>28</v>
      </c>
      <c r="C32" s="2">
        <f t="shared" si="6"/>
        <v>100.61538461538461</v>
      </c>
      <c r="D32" s="2">
        <f t="shared" si="7"/>
        <v>1.3846153846153846</v>
      </c>
      <c r="E32" s="2">
        <f t="shared" si="8"/>
        <v>10.061538461538461</v>
      </c>
      <c r="F32" s="2">
        <f t="shared" si="9"/>
        <v>0.13846153846153847</v>
      </c>
      <c r="G32" s="9">
        <f>_XLL.RISKOUTPUT(,"Contaminated food products during a shift",29)+D32/(C32+D32)</f>
        <v>0.013574660633484163</v>
      </c>
      <c r="H32" s="2">
        <f>IF(C32&lt;1,0,_XLL.RISKBINOMIAL(ROUND(C32,0),I32))</f>
        <v>0</v>
      </c>
      <c r="I32" s="8">
        <f t="shared" si="10"/>
        <v>5.569062148913506E-05</v>
      </c>
      <c r="J32" s="2">
        <f t="shared" si="3"/>
        <v>1220.7418090519864</v>
      </c>
      <c r="K32" s="2">
        <f t="shared" si="4"/>
        <v>3.2581909480136027</v>
      </c>
      <c r="L32" s="10">
        <f>_XLL.RISKOUTPUT(,"Contaminated food contact surfaces during a shift",29)+K32/(J32+K32)</f>
        <v>0.00266192070916144</v>
      </c>
      <c r="M32" s="2">
        <f>IF(J32&lt;1,0,_XLL.RISKBINOMIAL(ROUND(J32,0),N32))</f>
        <v>0</v>
      </c>
      <c r="N32" s="11">
        <f t="shared" si="11"/>
        <v>1.3308466217609727E-05</v>
      </c>
      <c r="O32" s="2">
        <f t="shared" si="12"/>
        <v>68</v>
      </c>
      <c r="P32" s="2">
        <f t="shared" si="13"/>
        <v>0</v>
      </c>
      <c r="Q32" s="10">
        <f>_XLL.RISKOUTPUT(,"Contaminated gloves during a shift",29)+P32/(O32+P32)</f>
        <v>0</v>
      </c>
      <c r="R32" s="2">
        <f>IF(O32&lt;1,0,_XLL.RISKBINOMIAL(ROUND(O32,0),S32))</f>
        <v>0</v>
      </c>
      <c r="S32" s="11">
        <f t="shared" si="5"/>
        <v>0.0002337817386286467</v>
      </c>
      <c r="U32" s="2">
        <f t="shared" si="0"/>
        <v>102</v>
      </c>
      <c r="V32" s="2">
        <f t="shared" si="1"/>
        <v>1224</v>
      </c>
      <c r="W32" s="2">
        <f t="shared" si="2"/>
        <v>68</v>
      </c>
    </row>
    <row r="33" spans="1:23" ht="12.75">
      <c r="A33">
        <v>1</v>
      </c>
      <c r="B33">
        <v>29</v>
      </c>
      <c r="C33" s="2">
        <f t="shared" si="6"/>
        <v>100.61538461538461</v>
      </c>
      <c r="D33" s="2">
        <f t="shared" si="7"/>
        <v>1.3846153846153846</v>
      </c>
      <c r="E33" s="2">
        <f t="shared" si="8"/>
        <v>10.061538461538461</v>
      </c>
      <c r="F33" s="2">
        <f t="shared" si="9"/>
        <v>0.13846153846153847</v>
      </c>
      <c r="G33" s="9">
        <f>_XLL.RISKOUTPUT(,"Contaminated food products during a shift",30)+D33/(C33+D33)</f>
        <v>0.013574660633484163</v>
      </c>
      <c r="H33" s="2">
        <f>IF(C33&lt;1,0,_XLL.RISKBINOMIAL(ROUND(C33,0),I33))</f>
        <v>0</v>
      </c>
      <c r="I33" s="8">
        <f t="shared" si="10"/>
        <v>5.569062148913506E-05</v>
      </c>
      <c r="J33" s="2">
        <f t="shared" si="3"/>
        <v>1220.7418090519864</v>
      </c>
      <c r="K33" s="2">
        <f t="shared" si="4"/>
        <v>3.2581909480136027</v>
      </c>
      <c r="L33" s="10">
        <f>_XLL.RISKOUTPUT(,"Contaminated food contact surfaces during a shift",30)+K33/(J33+K33)</f>
        <v>0.00266192070916144</v>
      </c>
      <c r="M33" s="2">
        <f>IF(J33&lt;1,0,_XLL.RISKBINOMIAL(ROUND(J33,0),N33))</f>
        <v>0</v>
      </c>
      <c r="N33" s="11">
        <f t="shared" si="11"/>
        <v>1.3308466217609727E-05</v>
      </c>
      <c r="O33" s="2">
        <f t="shared" si="12"/>
        <v>68</v>
      </c>
      <c r="P33" s="2">
        <f t="shared" si="13"/>
        <v>0</v>
      </c>
      <c r="Q33" s="10">
        <f>_XLL.RISKOUTPUT(,"Contaminated gloves during a shift",30)+P33/(O33+P33)</f>
        <v>0</v>
      </c>
      <c r="R33" s="2">
        <f>IF(O33&lt;1,0,_XLL.RISKBINOMIAL(ROUND(O33,0),S33))</f>
        <v>0</v>
      </c>
      <c r="S33" s="11">
        <f t="shared" si="5"/>
        <v>0.0002337817386286467</v>
      </c>
      <c r="U33" s="2">
        <f t="shared" si="0"/>
        <v>102</v>
      </c>
      <c r="V33" s="2">
        <f t="shared" si="1"/>
        <v>1224</v>
      </c>
      <c r="W33" s="2">
        <f t="shared" si="2"/>
        <v>68</v>
      </c>
    </row>
    <row r="34" spans="1:23" ht="12.75">
      <c r="A34">
        <v>1</v>
      </c>
      <c r="B34">
        <v>30</v>
      </c>
      <c r="C34" s="2">
        <f t="shared" si="6"/>
        <v>100.61538461538461</v>
      </c>
      <c r="D34" s="2">
        <f t="shared" si="7"/>
        <v>1.3846153846153846</v>
      </c>
      <c r="E34" s="2">
        <f t="shared" si="8"/>
        <v>10.061538461538461</v>
      </c>
      <c r="F34" s="2">
        <f t="shared" si="9"/>
        <v>0.13846153846153847</v>
      </c>
      <c r="G34" s="9">
        <f>_XLL.RISKOUTPUT(,"Contaminated food products during a shift",31)+D34/(C34+D34)</f>
        <v>0.013574660633484163</v>
      </c>
      <c r="H34" s="2">
        <f>IF(C34&lt;1,0,_XLL.RISKBINOMIAL(ROUND(C34,0),I34))</f>
        <v>0</v>
      </c>
      <c r="I34" s="8">
        <f t="shared" si="10"/>
        <v>5.569062148913506E-05</v>
      </c>
      <c r="J34" s="2">
        <f t="shared" si="3"/>
        <v>1220.7418090519864</v>
      </c>
      <c r="K34" s="2">
        <f t="shared" si="4"/>
        <v>3.2581909480136027</v>
      </c>
      <c r="L34" s="10">
        <f>_XLL.RISKOUTPUT(,"Contaminated food contact surfaces during a shift",31)+K34/(J34+K34)</f>
        <v>0.00266192070916144</v>
      </c>
      <c r="M34" s="2">
        <f>IF(J34&lt;1,0,_XLL.RISKBINOMIAL(ROUND(J34,0),N34))</f>
        <v>0</v>
      </c>
      <c r="N34" s="11">
        <f t="shared" si="11"/>
        <v>1.3308466217609727E-05</v>
      </c>
      <c r="O34" s="2">
        <f t="shared" si="12"/>
        <v>68</v>
      </c>
      <c r="P34" s="2">
        <f t="shared" si="13"/>
        <v>0</v>
      </c>
      <c r="Q34" s="10">
        <f>_XLL.RISKOUTPUT(,"Contaminated gloves during a shift",31)+P34/(O34+P34)</f>
        <v>0</v>
      </c>
      <c r="R34" s="2">
        <f>IF(O34&lt;1,0,_XLL.RISKBINOMIAL(ROUND(O34,0),S34))</f>
        <v>0</v>
      </c>
      <c r="S34" s="11">
        <f t="shared" si="5"/>
        <v>0.0002337817386286467</v>
      </c>
      <c r="U34" s="2">
        <f t="shared" si="0"/>
        <v>102</v>
      </c>
      <c r="V34" s="2">
        <f t="shared" si="1"/>
        <v>1224</v>
      </c>
      <c r="W34" s="2">
        <f t="shared" si="2"/>
        <v>68</v>
      </c>
    </row>
    <row r="35" spans="1:23" ht="12.75">
      <c r="A35">
        <v>1</v>
      </c>
      <c r="B35">
        <v>31</v>
      </c>
      <c r="C35" s="2">
        <f t="shared" si="6"/>
        <v>100.61538461538461</v>
      </c>
      <c r="D35" s="2">
        <f t="shared" si="7"/>
        <v>1.3846153846153846</v>
      </c>
      <c r="E35" s="2">
        <f t="shared" si="8"/>
        <v>10.061538461538461</v>
      </c>
      <c r="F35" s="2">
        <f t="shared" si="9"/>
        <v>0.13846153846153847</v>
      </c>
      <c r="G35" s="9">
        <f>_XLL.RISKOUTPUT(,"Contaminated food products during a shift",32)+D35/(C35+D35)</f>
        <v>0.013574660633484163</v>
      </c>
      <c r="H35" s="2">
        <f>IF(C35&lt;1,0,_XLL.RISKBINOMIAL(ROUND(C35,0),I35))</f>
        <v>0</v>
      </c>
      <c r="I35" s="8">
        <f t="shared" si="10"/>
        <v>5.569062148913506E-05</v>
      </c>
      <c r="J35" s="2">
        <f t="shared" si="3"/>
        <v>1220.7418090519864</v>
      </c>
      <c r="K35" s="2">
        <f t="shared" si="4"/>
        <v>3.2581909480136027</v>
      </c>
      <c r="L35" s="10">
        <f>_XLL.RISKOUTPUT(,"Contaminated food contact surfaces during a shift",32)+K35/(J35+K35)</f>
        <v>0.00266192070916144</v>
      </c>
      <c r="M35" s="2">
        <f>IF(J35&lt;1,0,_XLL.RISKBINOMIAL(ROUND(J35,0),N35))</f>
        <v>0</v>
      </c>
      <c r="N35" s="11">
        <f t="shared" si="11"/>
        <v>1.3308466217609727E-05</v>
      </c>
      <c r="O35" s="2">
        <f t="shared" si="12"/>
        <v>68</v>
      </c>
      <c r="P35" s="2">
        <f t="shared" si="13"/>
        <v>0</v>
      </c>
      <c r="Q35" s="10">
        <f>_XLL.RISKOUTPUT(,"Contaminated gloves during a shift",32)+P35/(O35+P35)</f>
        <v>0</v>
      </c>
      <c r="R35" s="2">
        <f>IF(O35&lt;1,0,_XLL.RISKBINOMIAL(ROUND(O35,0),S35))</f>
        <v>0</v>
      </c>
      <c r="S35" s="11">
        <f t="shared" si="5"/>
        <v>0.0002337817386286467</v>
      </c>
      <c r="U35" s="2">
        <f t="shared" si="0"/>
        <v>102</v>
      </c>
      <c r="V35" s="2">
        <f t="shared" si="1"/>
        <v>1224</v>
      </c>
      <c r="W35" s="2">
        <f t="shared" si="2"/>
        <v>68</v>
      </c>
    </row>
    <row r="36" spans="1:23" ht="12.75">
      <c r="A36">
        <v>1</v>
      </c>
      <c r="B36">
        <v>32</v>
      </c>
      <c r="C36" s="2">
        <f t="shared" si="6"/>
        <v>100.61538461538461</v>
      </c>
      <c r="D36" s="2">
        <f t="shared" si="7"/>
        <v>1.3846153846153846</v>
      </c>
      <c r="E36" s="2">
        <f t="shared" si="8"/>
        <v>10.061538461538461</v>
      </c>
      <c r="F36" s="2">
        <f t="shared" si="9"/>
        <v>0.13846153846153847</v>
      </c>
      <c r="G36" s="9">
        <f>_XLL.RISKOUTPUT(,"Contaminated food products during a shift",33)+D36/(C36+D36)</f>
        <v>0.013574660633484163</v>
      </c>
      <c r="H36" s="2">
        <f>IF(C36&lt;1,0,_XLL.RISKBINOMIAL(ROUND(C36,0),I36))</f>
        <v>0</v>
      </c>
      <c r="I36" s="8">
        <f t="shared" si="10"/>
        <v>5.569062148913506E-05</v>
      </c>
      <c r="J36" s="2">
        <f t="shared" si="3"/>
        <v>1220.7418090519864</v>
      </c>
      <c r="K36" s="2">
        <f t="shared" si="4"/>
        <v>3.2581909480136027</v>
      </c>
      <c r="L36" s="10">
        <f>_XLL.RISKOUTPUT(,"Contaminated food contact surfaces during a shift",33)+K36/(J36+K36)</f>
        <v>0.00266192070916144</v>
      </c>
      <c r="M36" s="2">
        <f>IF(J36&lt;1,0,_XLL.RISKBINOMIAL(ROUND(J36,0),N36))</f>
        <v>0</v>
      </c>
      <c r="N36" s="11">
        <f t="shared" si="11"/>
        <v>1.3308466217609727E-05</v>
      </c>
      <c r="O36" s="2">
        <f t="shared" si="12"/>
        <v>68</v>
      </c>
      <c r="P36" s="2">
        <f t="shared" si="13"/>
        <v>0</v>
      </c>
      <c r="Q36" s="10">
        <f>_XLL.RISKOUTPUT(,"Contaminated gloves during a shift",33)+P36/(O36+P36)</f>
        <v>0</v>
      </c>
      <c r="R36" s="2">
        <f>IF(O36&lt;1,0,_XLL.RISKBINOMIAL(ROUND(O36,0),S36))</f>
        <v>0</v>
      </c>
      <c r="S36" s="11">
        <f t="shared" si="5"/>
        <v>0.0002337817386286467</v>
      </c>
      <c r="U36" s="2">
        <f t="shared" si="0"/>
        <v>102</v>
      </c>
      <c r="V36" s="2">
        <f t="shared" si="1"/>
        <v>1224</v>
      </c>
      <c r="W36" s="2">
        <f t="shared" si="2"/>
        <v>68</v>
      </c>
    </row>
    <row r="37" spans="1:23" ht="12.75">
      <c r="A37">
        <v>1</v>
      </c>
      <c r="B37">
        <v>33</v>
      </c>
      <c r="C37" s="2">
        <f t="shared" si="6"/>
        <v>100.61538461538461</v>
      </c>
      <c r="D37" s="2">
        <f t="shared" si="7"/>
        <v>1.3846153846153846</v>
      </c>
      <c r="E37" s="2">
        <f t="shared" si="8"/>
        <v>10.061538461538461</v>
      </c>
      <c r="F37" s="2">
        <f t="shared" si="9"/>
        <v>0.13846153846153847</v>
      </c>
      <c r="G37" s="9">
        <f>_XLL.RISKOUTPUT(,"Contaminated food products during a shift",34)+D37/(C37+D37)</f>
        <v>0.013574660633484163</v>
      </c>
      <c r="H37" s="2">
        <f>IF(C37&lt;1,0,_XLL.RISKBINOMIAL(ROUND(C37,0),I37))</f>
        <v>0</v>
      </c>
      <c r="I37" s="8">
        <f t="shared" si="10"/>
        <v>5.569062148913506E-05</v>
      </c>
      <c r="J37" s="2">
        <f t="shared" si="3"/>
        <v>1220.7418090519864</v>
      </c>
      <c r="K37" s="2">
        <f t="shared" si="4"/>
        <v>3.2581909480136027</v>
      </c>
      <c r="L37" s="10">
        <f>_XLL.RISKOUTPUT(,"Contaminated food contact surfaces during a shift",34)+K37/(J37+K37)</f>
        <v>0.00266192070916144</v>
      </c>
      <c r="M37" s="2">
        <f>IF(J37&lt;1,0,_XLL.RISKBINOMIAL(ROUND(J37,0),N37))</f>
        <v>0</v>
      </c>
      <c r="N37" s="11">
        <f t="shared" si="11"/>
        <v>1.3308466217609727E-05</v>
      </c>
      <c r="O37" s="2">
        <f t="shared" si="12"/>
        <v>68</v>
      </c>
      <c r="P37" s="2">
        <f t="shared" si="13"/>
        <v>0</v>
      </c>
      <c r="Q37" s="10">
        <f>_XLL.RISKOUTPUT(,"Contaminated gloves during a shift",34)+P37/(O37+P37)</f>
        <v>0</v>
      </c>
      <c r="R37" s="2">
        <f>IF(O37&lt;1,0,_XLL.RISKBINOMIAL(ROUND(O37,0),S37))</f>
        <v>0</v>
      </c>
      <c r="S37" s="11">
        <f t="shared" si="5"/>
        <v>0.0002337817386286467</v>
      </c>
      <c r="U37" s="2">
        <f t="shared" si="0"/>
        <v>102</v>
      </c>
      <c r="V37" s="2">
        <f t="shared" si="1"/>
        <v>1224</v>
      </c>
      <c r="W37" s="2">
        <f t="shared" si="2"/>
        <v>68</v>
      </c>
    </row>
    <row r="38" spans="1:23" ht="12.75">
      <c r="A38">
        <v>1</v>
      </c>
      <c r="B38">
        <v>34</v>
      </c>
      <c r="C38" s="2">
        <f t="shared" si="6"/>
        <v>100.61538461538461</v>
      </c>
      <c r="D38" s="2">
        <f t="shared" si="7"/>
        <v>1.3846153846153846</v>
      </c>
      <c r="E38" s="2">
        <f t="shared" si="8"/>
        <v>10.061538461538461</v>
      </c>
      <c r="F38" s="2">
        <f t="shared" si="9"/>
        <v>0.13846153846153847</v>
      </c>
      <c r="G38" s="9">
        <f>_XLL.RISKOUTPUT(,"Contaminated food products during a shift",35)+D38/(C38+D38)</f>
        <v>0.013574660633484163</v>
      </c>
      <c r="H38" s="2">
        <f>IF(C38&lt;1,0,_XLL.RISKBINOMIAL(ROUND(C38,0),I38))</f>
        <v>0</v>
      </c>
      <c r="I38" s="8">
        <f t="shared" si="10"/>
        <v>5.569062148913506E-05</v>
      </c>
      <c r="J38" s="2">
        <f t="shared" si="3"/>
        <v>1220.7418090519864</v>
      </c>
      <c r="K38" s="2">
        <f t="shared" si="4"/>
        <v>3.2581909480136027</v>
      </c>
      <c r="L38" s="10">
        <f>_XLL.RISKOUTPUT(,"Contaminated food contact surfaces during a shift",35)+K38/(J38+K38)</f>
        <v>0.00266192070916144</v>
      </c>
      <c r="M38" s="2">
        <f>IF(J38&lt;1,0,_XLL.RISKBINOMIAL(ROUND(J38,0),N38))</f>
        <v>0</v>
      </c>
      <c r="N38" s="11">
        <f t="shared" si="11"/>
        <v>1.3308466217609727E-05</v>
      </c>
      <c r="O38" s="2">
        <f t="shared" si="12"/>
        <v>68</v>
      </c>
      <c r="P38" s="2">
        <f t="shared" si="13"/>
        <v>0</v>
      </c>
      <c r="Q38" s="10">
        <f>_XLL.RISKOUTPUT(,"Contaminated gloves during a shift",35)+P38/(O38+P38)</f>
        <v>0</v>
      </c>
      <c r="R38" s="2">
        <f>IF(O38&lt;1,0,_XLL.RISKBINOMIAL(ROUND(O38,0),S38))</f>
        <v>0</v>
      </c>
      <c r="S38" s="11">
        <f t="shared" si="5"/>
        <v>0.0002337817386286467</v>
      </c>
      <c r="U38" s="2">
        <f t="shared" si="0"/>
        <v>102</v>
      </c>
      <c r="V38" s="2">
        <f t="shared" si="1"/>
        <v>1224</v>
      </c>
      <c r="W38" s="2">
        <f t="shared" si="2"/>
        <v>68</v>
      </c>
    </row>
    <row r="39" spans="1:23" ht="12.75">
      <c r="A39">
        <v>1</v>
      </c>
      <c r="B39">
        <v>35</v>
      </c>
      <c r="C39" s="2">
        <f t="shared" si="6"/>
        <v>100.61538461538461</v>
      </c>
      <c r="D39" s="2">
        <f t="shared" si="7"/>
        <v>1.3846153846153846</v>
      </c>
      <c r="E39" s="2">
        <f t="shared" si="8"/>
        <v>10.061538461538461</v>
      </c>
      <c r="F39" s="2">
        <f t="shared" si="9"/>
        <v>0.13846153846153847</v>
      </c>
      <c r="G39" s="9">
        <f>_XLL.RISKOUTPUT(,"Contaminated food products during a shift",36)+D39/(C39+D39)</f>
        <v>0.013574660633484163</v>
      </c>
      <c r="H39" s="2">
        <f>IF(C39&lt;1,0,_XLL.RISKBINOMIAL(ROUND(C39,0),I39))</f>
        <v>0</v>
      </c>
      <c r="I39" s="8">
        <f t="shared" si="10"/>
        <v>5.569062148913506E-05</v>
      </c>
      <c r="J39" s="2">
        <f t="shared" si="3"/>
        <v>1220.7418090519864</v>
      </c>
      <c r="K39" s="2">
        <f t="shared" si="4"/>
        <v>3.2581909480136027</v>
      </c>
      <c r="L39" s="10">
        <f>_XLL.RISKOUTPUT(,"Contaminated food contact surfaces during a shift",36)+K39/(J39+K39)</f>
        <v>0.00266192070916144</v>
      </c>
      <c r="M39" s="2">
        <f>IF(J39&lt;1,0,_XLL.RISKBINOMIAL(ROUND(J39,0),N39))</f>
        <v>0</v>
      </c>
      <c r="N39" s="11">
        <f t="shared" si="11"/>
        <v>1.3308466217609727E-05</v>
      </c>
      <c r="O39" s="2">
        <f t="shared" si="12"/>
        <v>68</v>
      </c>
      <c r="P39" s="2">
        <f t="shared" si="13"/>
        <v>0</v>
      </c>
      <c r="Q39" s="10">
        <f>_XLL.RISKOUTPUT(,"Contaminated gloves during a shift",36)+P39/(O39+P39)</f>
        <v>0</v>
      </c>
      <c r="R39" s="2">
        <f>IF(O39&lt;1,0,_XLL.RISKBINOMIAL(ROUND(O39,0),S39))</f>
        <v>0</v>
      </c>
      <c r="S39" s="11">
        <f t="shared" si="5"/>
        <v>0.0002337817386286467</v>
      </c>
      <c r="U39" s="2">
        <f t="shared" si="0"/>
        <v>102</v>
      </c>
      <c r="V39" s="2">
        <f t="shared" si="1"/>
        <v>1224</v>
      </c>
      <c r="W39" s="2">
        <f t="shared" si="2"/>
        <v>68</v>
      </c>
    </row>
    <row r="40" spans="1:23" ht="12.75">
      <c r="A40">
        <v>1</v>
      </c>
      <c r="B40">
        <v>36</v>
      </c>
      <c r="C40" s="2">
        <f t="shared" si="6"/>
        <v>100.61538461538461</v>
      </c>
      <c r="D40" s="2">
        <f t="shared" si="7"/>
        <v>1.3846153846153846</v>
      </c>
      <c r="E40" s="2">
        <f t="shared" si="8"/>
        <v>10.061538461538461</v>
      </c>
      <c r="F40" s="2">
        <f t="shared" si="9"/>
        <v>0.13846153846153847</v>
      </c>
      <c r="G40" s="9">
        <f>_XLL.RISKOUTPUT(,"Contaminated food products during a shift",37)+D40/(C40+D40)</f>
        <v>0.013574660633484163</v>
      </c>
      <c r="H40" s="2">
        <f>IF(C40&lt;1,0,_XLL.RISKBINOMIAL(ROUND(C40,0),I40))</f>
        <v>0</v>
      </c>
      <c r="I40" s="8">
        <f t="shared" si="10"/>
        <v>5.569062148913506E-05</v>
      </c>
      <c r="J40" s="2">
        <f t="shared" si="3"/>
        <v>1220.7418090519864</v>
      </c>
      <c r="K40" s="2">
        <f t="shared" si="4"/>
        <v>3.2581909480136027</v>
      </c>
      <c r="L40" s="10">
        <f>_XLL.RISKOUTPUT(,"Contaminated food contact surfaces during a shift",37)+K40/(J40+K40)</f>
        <v>0.00266192070916144</v>
      </c>
      <c r="M40" s="2">
        <f>IF(J40&lt;1,0,_XLL.RISKBINOMIAL(ROUND(J40,0),N40))</f>
        <v>0</v>
      </c>
      <c r="N40" s="11">
        <f t="shared" si="11"/>
        <v>1.3308466217609727E-05</v>
      </c>
      <c r="O40" s="2">
        <f t="shared" si="12"/>
        <v>68</v>
      </c>
      <c r="P40" s="2">
        <f t="shared" si="13"/>
        <v>0</v>
      </c>
      <c r="Q40" s="10">
        <f>_XLL.RISKOUTPUT(,"Contaminated gloves during a shift",37)+P40/(O40+P40)</f>
        <v>0</v>
      </c>
      <c r="R40" s="2">
        <f>IF(O40&lt;1,0,_XLL.RISKBINOMIAL(ROUND(O40,0),S40))</f>
        <v>0</v>
      </c>
      <c r="S40" s="11">
        <f t="shared" si="5"/>
        <v>0.0002337817386286467</v>
      </c>
      <c r="U40" s="2">
        <f t="shared" si="0"/>
        <v>102</v>
      </c>
      <c r="V40" s="2">
        <f t="shared" si="1"/>
        <v>1224</v>
      </c>
      <c r="W40" s="2">
        <f t="shared" si="2"/>
        <v>68</v>
      </c>
    </row>
    <row r="41" spans="1:23" ht="12.75">
      <c r="A41">
        <v>1</v>
      </c>
      <c r="B41">
        <v>37</v>
      </c>
      <c r="C41" s="2">
        <f t="shared" si="6"/>
        <v>100.61538461538461</v>
      </c>
      <c r="D41" s="2">
        <f t="shared" si="7"/>
        <v>1.3846153846153846</v>
      </c>
      <c r="E41" s="2">
        <f t="shared" si="8"/>
        <v>10.061538461538461</v>
      </c>
      <c r="F41" s="2">
        <f t="shared" si="9"/>
        <v>0.13846153846153847</v>
      </c>
      <c r="G41" s="9">
        <f>_XLL.RISKOUTPUT(,"Contaminated food products during a shift",38)+D41/(C41+D41)</f>
        <v>0.013574660633484163</v>
      </c>
      <c r="H41" s="2">
        <f>IF(C41&lt;1,0,_XLL.RISKBINOMIAL(ROUND(C41,0),I41))</f>
        <v>0</v>
      </c>
      <c r="I41" s="8">
        <f t="shared" si="10"/>
        <v>5.569062148913506E-05</v>
      </c>
      <c r="J41" s="2">
        <f t="shared" si="3"/>
        <v>1220.7418090519864</v>
      </c>
      <c r="K41" s="2">
        <f t="shared" si="4"/>
        <v>3.2581909480136027</v>
      </c>
      <c r="L41" s="10">
        <f>_XLL.RISKOUTPUT(,"Contaminated food contact surfaces during a shift",38)+K41/(J41+K41)</f>
        <v>0.00266192070916144</v>
      </c>
      <c r="M41" s="2">
        <f>IF(J41&lt;1,0,_XLL.RISKBINOMIAL(ROUND(J41,0),N41))</f>
        <v>0</v>
      </c>
      <c r="N41" s="11">
        <f t="shared" si="11"/>
        <v>1.3308466217609727E-05</v>
      </c>
      <c r="O41" s="2">
        <f t="shared" si="12"/>
        <v>68</v>
      </c>
      <c r="P41" s="2">
        <f t="shared" si="13"/>
        <v>0</v>
      </c>
      <c r="Q41" s="10">
        <f>_XLL.RISKOUTPUT(,"Contaminated gloves during a shift",38)+P41/(O41+P41)</f>
        <v>0</v>
      </c>
      <c r="R41" s="2">
        <f>IF(O41&lt;1,0,_XLL.RISKBINOMIAL(ROUND(O41,0),S41))</f>
        <v>0</v>
      </c>
      <c r="S41" s="11">
        <f t="shared" si="5"/>
        <v>0.0002337817386286467</v>
      </c>
      <c r="U41" s="2">
        <f t="shared" si="0"/>
        <v>102</v>
      </c>
      <c r="V41" s="2">
        <f t="shared" si="1"/>
        <v>1224</v>
      </c>
      <c r="W41" s="2">
        <f t="shared" si="2"/>
        <v>68</v>
      </c>
    </row>
    <row r="42" spans="1:23" ht="12.75">
      <c r="A42">
        <v>1</v>
      </c>
      <c r="B42">
        <v>38</v>
      </c>
      <c r="C42" s="2">
        <f t="shared" si="6"/>
        <v>100.61538461538461</v>
      </c>
      <c r="D42" s="2">
        <f t="shared" si="7"/>
        <v>1.3846153846153846</v>
      </c>
      <c r="E42" s="2">
        <f t="shared" si="8"/>
        <v>10.061538461538461</v>
      </c>
      <c r="F42" s="2">
        <f t="shared" si="9"/>
        <v>0.13846153846153847</v>
      </c>
      <c r="G42" s="9">
        <f>_XLL.RISKOUTPUT(,"Contaminated food products during a shift",39)+D42/(C42+D42)</f>
        <v>0.013574660633484163</v>
      </c>
      <c r="H42" s="2">
        <f>IF(C42&lt;1,0,_XLL.RISKBINOMIAL(ROUND(C42,0),I42))</f>
        <v>0</v>
      </c>
      <c r="I42" s="8">
        <f t="shared" si="10"/>
        <v>5.569062148913506E-05</v>
      </c>
      <c r="J42" s="2">
        <f t="shared" si="3"/>
        <v>1220.7418090519864</v>
      </c>
      <c r="K42" s="2">
        <f t="shared" si="4"/>
        <v>3.2581909480136027</v>
      </c>
      <c r="L42" s="10">
        <f>_XLL.RISKOUTPUT(,"Contaminated food contact surfaces during a shift",39)+K42/(J42+K42)</f>
        <v>0.00266192070916144</v>
      </c>
      <c r="M42" s="2">
        <f>IF(J42&lt;1,0,_XLL.RISKBINOMIAL(ROUND(J42,0),N42))</f>
        <v>0</v>
      </c>
      <c r="N42" s="11">
        <f t="shared" si="11"/>
        <v>1.3308466217609727E-05</v>
      </c>
      <c r="O42" s="2">
        <f t="shared" si="12"/>
        <v>68</v>
      </c>
      <c r="P42" s="2">
        <f t="shared" si="13"/>
        <v>0</v>
      </c>
      <c r="Q42" s="10">
        <f>_XLL.RISKOUTPUT(,"Contaminated gloves during a shift",39)+P42/(O42+P42)</f>
        <v>0</v>
      </c>
      <c r="R42" s="2">
        <f>IF(O42&lt;1,0,_XLL.RISKBINOMIAL(ROUND(O42,0),S42))</f>
        <v>0</v>
      </c>
      <c r="S42" s="11">
        <f t="shared" si="5"/>
        <v>0.0002337817386286467</v>
      </c>
      <c r="U42" s="2">
        <f t="shared" si="0"/>
        <v>102</v>
      </c>
      <c r="V42" s="2">
        <f t="shared" si="1"/>
        <v>1224</v>
      </c>
      <c r="W42" s="2">
        <f t="shared" si="2"/>
        <v>68</v>
      </c>
    </row>
    <row r="43" spans="1:23" ht="12.75">
      <c r="A43">
        <v>1</v>
      </c>
      <c r="B43">
        <v>39</v>
      </c>
      <c r="C43" s="2">
        <f t="shared" si="6"/>
        <v>100.61538461538461</v>
      </c>
      <c r="D43" s="2">
        <f t="shared" si="7"/>
        <v>1.3846153846153846</v>
      </c>
      <c r="E43" s="2">
        <f t="shared" si="8"/>
        <v>10.061538461538461</v>
      </c>
      <c r="F43" s="2">
        <f t="shared" si="9"/>
        <v>0.13846153846153847</v>
      </c>
      <c r="G43" s="9">
        <f>_XLL.RISKOUTPUT(,"Contaminated food products during a shift",40)+D43/(C43+D43)</f>
        <v>0.013574660633484163</v>
      </c>
      <c r="H43" s="2">
        <f>IF(C43&lt;1,0,_XLL.RISKBINOMIAL(ROUND(C43,0),I43))</f>
        <v>0</v>
      </c>
      <c r="I43" s="8">
        <f t="shared" si="10"/>
        <v>5.569062148913506E-05</v>
      </c>
      <c r="J43" s="2">
        <f t="shared" si="3"/>
        <v>1220.7418090519864</v>
      </c>
      <c r="K43" s="2">
        <f t="shared" si="4"/>
        <v>3.2581909480136027</v>
      </c>
      <c r="L43" s="10">
        <f>_XLL.RISKOUTPUT(,"Contaminated food contact surfaces during a shift",40)+K43/(J43+K43)</f>
        <v>0.00266192070916144</v>
      </c>
      <c r="M43" s="2">
        <f>IF(J43&lt;1,0,_XLL.RISKBINOMIAL(ROUND(J43,0),N43))</f>
        <v>0</v>
      </c>
      <c r="N43" s="11">
        <f t="shared" si="11"/>
        <v>1.3308466217609727E-05</v>
      </c>
      <c r="O43" s="2">
        <f t="shared" si="12"/>
        <v>68</v>
      </c>
      <c r="P43" s="2">
        <f t="shared" si="13"/>
        <v>0</v>
      </c>
      <c r="Q43" s="10">
        <f>_XLL.RISKOUTPUT(,"Contaminated gloves during a shift",40)+P43/(O43+P43)</f>
        <v>0</v>
      </c>
      <c r="R43" s="2">
        <f>IF(O43&lt;1,0,_XLL.RISKBINOMIAL(ROUND(O43,0),S43))</f>
        <v>0</v>
      </c>
      <c r="S43" s="11">
        <f t="shared" si="5"/>
        <v>0.0002337817386286467</v>
      </c>
      <c r="U43" s="2">
        <f t="shared" si="0"/>
        <v>102</v>
      </c>
      <c r="V43" s="2">
        <f t="shared" si="1"/>
        <v>1224</v>
      </c>
      <c r="W43" s="2">
        <f t="shared" si="2"/>
        <v>68</v>
      </c>
    </row>
    <row r="44" spans="1:23" ht="12.75">
      <c r="A44">
        <v>1</v>
      </c>
      <c r="B44">
        <v>40</v>
      </c>
      <c r="C44" s="2">
        <f t="shared" si="6"/>
        <v>100.61538461538461</v>
      </c>
      <c r="D44" s="2">
        <f t="shared" si="7"/>
        <v>1.3846153846153846</v>
      </c>
      <c r="E44" s="2">
        <f t="shared" si="8"/>
        <v>10.061538461538461</v>
      </c>
      <c r="F44" s="2">
        <f t="shared" si="9"/>
        <v>0.13846153846153847</v>
      </c>
      <c r="G44" s="9">
        <f>_XLL.RISKOUTPUT(,"Contaminated food products during a shift",41)+D44/(C44+D44)</f>
        <v>0.013574660633484163</v>
      </c>
      <c r="H44" s="2">
        <f>IF(C44&lt;1,0,_XLL.RISKBINOMIAL(ROUND(C44,0),I44))</f>
        <v>0</v>
      </c>
      <c r="I44" s="8">
        <f t="shared" si="10"/>
        <v>5.569062148913506E-05</v>
      </c>
      <c r="J44" s="2">
        <f t="shared" si="3"/>
        <v>1220.7418090519864</v>
      </c>
      <c r="K44" s="2">
        <f t="shared" si="4"/>
        <v>3.2581909480136027</v>
      </c>
      <c r="L44" s="10">
        <f>_XLL.RISKOUTPUT(,"Contaminated food contact surfaces during a shift",41)+K44/(J44+K44)</f>
        <v>0.00266192070916144</v>
      </c>
      <c r="M44" s="2">
        <f>IF(J44&lt;1,0,_XLL.RISKBINOMIAL(ROUND(J44,0),N44))</f>
        <v>0</v>
      </c>
      <c r="N44" s="11">
        <f t="shared" si="11"/>
        <v>1.3308466217609727E-05</v>
      </c>
      <c r="O44" s="2">
        <f t="shared" si="12"/>
        <v>68</v>
      </c>
      <c r="P44" s="2">
        <f t="shared" si="13"/>
        <v>0</v>
      </c>
      <c r="Q44" s="10">
        <f>_XLL.RISKOUTPUT(,"Contaminated gloves during a shift",41)+P44/(O44+P44)</f>
        <v>0</v>
      </c>
      <c r="R44" s="2">
        <f>IF(O44&lt;1,0,_XLL.RISKBINOMIAL(ROUND(O44,0),S44))</f>
        <v>0</v>
      </c>
      <c r="S44" s="11">
        <f t="shared" si="5"/>
        <v>0.0002337817386286467</v>
      </c>
      <c r="U44" s="2">
        <f t="shared" si="0"/>
        <v>102</v>
      </c>
      <c r="V44" s="2">
        <f t="shared" si="1"/>
        <v>1224</v>
      </c>
      <c r="W44" s="2">
        <f t="shared" si="2"/>
        <v>68</v>
      </c>
    </row>
    <row r="45" spans="1:23" ht="12.75">
      <c r="A45">
        <v>1</v>
      </c>
      <c r="B45">
        <v>41</v>
      </c>
      <c r="C45" s="2">
        <f t="shared" si="6"/>
        <v>100.61538461538461</v>
      </c>
      <c r="D45" s="2">
        <f t="shared" si="7"/>
        <v>1.3846153846153846</v>
      </c>
      <c r="E45" s="2">
        <f t="shared" si="8"/>
        <v>10.061538461538461</v>
      </c>
      <c r="F45" s="2">
        <f t="shared" si="9"/>
        <v>0.13846153846153847</v>
      </c>
      <c r="G45" s="9">
        <f>_XLL.RISKOUTPUT(,"Contaminated food products during a shift",42)+D45/(C45+D45)</f>
        <v>0.013574660633484163</v>
      </c>
      <c r="H45" s="2">
        <f>IF(C45&lt;1,0,_XLL.RISKBINOMIAL(ROUND(C45,0),I45))</f>
        <v>0</v>
      </c>
      <c r="I45" s="8">
        <f t="shared" si="10"/>
        <v>5.569062148913506E-05</v>
      </c>
      <c r="J45" s="2">
        <f t="shared" si="3"/>
        <v>1220.7418090519864</v>
      </c>
      <c r="K45" s="2">
        <f t="shared" si="4"/>
        <v>3.2581909480136027</v>
      </c>
      <c r="L45" s="10">
        <f>_XLL.RISKOUTPUT(,"Contaminated food contact surfaces during a shift",42)+K45/(J45+K45)</f>
        <v>0.00266192070916144</v>
      </c>
      <c r="M45" s="2">
        <f>IF(J45&lt;1,0,_XLL.RISKBINOMIAL(ROUND(J45,0),N45))</f>
        <v>0</v>
      </c>
      <c r="N45" s="11">
        <f t="shared" si="11"/>
        <v>1.3308466217609727E-05</v>
      </c>
      <c r="O45" s="2">
        <f t="shared" si="12"/>
        <v>68</v>
      </c>
      <c r="P45" s="2">
        <f t="shared" si="13"/>
        <v>0</v>
      </c>
      <c r="Q45" s="10">
        <f>_XLL.RISKOUTPUT(,"Contaminated gloves during a shift",42)+P45/(O45+P45)</f>
        <v>0</v>
      </c>
      <c r="R45" s="2">
        <f>IF(O45&lt;1,0,_XLL.RISKBINOMIAL(ROUND(O45,0),S45))</f>
        <v>0</v>
      </c>
      <c r="S45" s="11">
        <f t="shared" si="5"/>
        <v>0.0002337817386286467</v>
      </c>
      <c r="U45" s="2">
        <f t="shared" si="0"/>
        <v>102</v>
      </c>
      <c r="V45" s="2">
        <f t="shared" si="1"/>
        <v>1224</v>
      </c>
      <c r="W45" s="2">
        <f t="shared" si="2"/>
        <v>68</v>
      </c>
    </row>
    <row r="46" spans="1:23" ht="12.75">
      <c r="A46">
        <v>1</v>
      </c>
      <c r="B46">
        <v>42</v>
      </c>
      <c r="C46" s="2">
        <f t="shared" si="6"/>
        <v>100.61538461538461</v>
      </c>
      <c r="D46" s="2">
        <f t="shared" si="7"/>
        <v>1.3846153846153846</v>
      </c>
      <c r="E46" s="2">
        <f t="shared" si="8"/>
        <v>10.061538461538461</v>
      </c>
      <c r="F46" s="2">
        <f t="shared" si="9"/>
        <v>0.13846153846153847</v>
      </c>
      <c r="G46" s="9">
        <f>_XLL.RISKOUTPUT(,"Contaminated food products during a shift",43)+D46/(C46+D46)</f>
        <v>0.013574660633484163</v>
      </c>
      <c r="H46" s="2">
        <f>IF(C46&lt;1,0,_XLL.RISKBINOMIAL(ROUND(C46,0),I46))</f>
        <v>0</v>
      </c>
      <c r="I46" s="8">
        <f t="shared" si="10"/>
        <v>5.569062148913506E-05</v>
      </c>
      <c r="J46" s="2">
        <f t="shared" si="3"/>
        <v>1220.7418090519864</v>
      </c>
      <c r="K46" s="2">
        <f t="shared" si="4"/>
        <v>3.2581909480136027</v>
      </c>
      <c r="L46" s="10">
        <f>_XLL.RISKOUTPUT(,"Contaminated food contact surfaces during a shift",43)+K46/(J46+K46)</f>
        <v>0.00266192070916144</v>
      </c>
      <c r="M46" s="2">
        <f>IF(J46&lt;1,0,_XLL.RISKBINOMIAL(ROUND(J46,0),N46))</f>
        <v>0</v>
      </c>
      <c r="N46" s="11">
        <f t="shared" si="11"/>
        <v>1.3308466217609727E-05</v>
      </c>
      <c r="O46" s="2">
        <f t="shared" si="12"/>
        <v>68</v>
      </c>
      <c r="P46" s="2">
        <f t="shared" si="13"/>
        <v>0</v>
      </c>
      <c r="Q46" s="10">
        <f>_XLL.RISKOUTPUT(,"Contaminated gloves during a shift",43)+P46/(O46+P46)</f>
        <v>0</v>
      </c>
      <c r="R46" s="2">
        <f>IF(O46&lt;1,0,_XLL.RISKBINOMIAL(ROUND(O46,0),S46))</f>
        <v>0</v>
      </c>
      <c r="S46" s="11">
        <f t="shared" si="5"/>
        <v>0.0002337817386286467</v>
      </c>
      <c r="U46" s="2">
        <f t="shared" si="0"/>
        <v>102</v>
      </c>
      <c r="V46" s="2">
        <f t="shared" si="1"/>
        <v>1224</v>
      </c>
      <c r="W46" s="2">
        <f t="shared" si="2"/>
        <v>68</v>
      </c>
    </row>
    <row r="47" spans="1:23" ht="12.75">
      <c r="A47">
        <v>1</v>
      </c>
      <c r="B47">
        <v>43</v>
      </c>
      <c r="C47" s="2">
        <f t="shared" si="6"/>
        <v>100.61538461538461</v>
      </c>
      <c r="D47" s="2">
        <f t="shared" si="7"/>
        <v>1.3846153846153846</v>
      </c>
      <c r="E47" s="2">
        <f t="shared" si="8"/>
        <v>10.061538461538461</v>
      </c>
      <c r="F47" s="2">
        <f t="shared" si="9"/>
        <v>0.13846153846153847</v>
      </c>
      <c r="G47" s="9">
        <f>_XLL.RISKOUTPUT(,"Contaminated food products during a shift",44)+D47/(C47+D47)</f>
        <v>0.013574660633484163</v>
      </c>
      <c r="H47" s="2">
        <f>IF(C47&lt;1,0,_XLL.RISKBINOMIAL(ROUND(C47,0),I47))</f>
        <v>0</v>
      </c>
      <c r="I47" s="8">
        <f t="shared" si="10"/>
        <v>5.569062148913506E-05</v>
      </c>
      <c r="J47" s="2">
        <f t="shared" si="3"/>
        <v>1220.7418090519864</v>
      </c>
      <c r="K47" s="2">
        <f t="shared" si="4"/>
        <v>3.2581909480136027</v>
      </c>
      <c r="L47" s="10">
        <f>_XLL.RISKOUTPUT(,"Contaminated food contact surfaces during a shift",44)+K47/(J47+K47)</f>
        <v>0.00266192070916144</v>
      </c>
      <c r="M47" s="2">
        <f>IF(J47&lt;1,0,_XLL.RISKBINOMIAL(ROUND(J47,0),N47))</f>
        <v>0</v>
      </c>
      <c r="N47" s="11">
        <f t="shared" si="11"/>
        <v>1.3308466217609727E-05</v>
      </c>
      <c r="O47" s="2">
        <f t="shared" si="12"/>
        <v>68</v>
      </c>
      <c r="P47" s="2">
        <f t="shared" si="13"/>
        <v>0</v>
      </c>
      <c r="Q47" s="10">
        <f>_XLL.RISKOUTPUT(,"Contaminated gloves during a shift",44)+P47/(O47+P47)</f>
        <v>0</v>
      </c>
      <c r="R47" s="2">
        <f>IF(O47&lt;1,0,_XLL.RISKBINOMIAL(ROUND(O47,0),S47))</f>
        <v>0</v>
      </c>
      <c r="S47" s="11">
        <f t="shared" si="5"/>
        <v>0.0002337817386286467</v>
      </c>
      <c r="U47" s="2">
        <f t="shared" si="0"/>
        <v>102</v>
      </c>
      <c r="V47" s="2">
        <f t="shared" si="1"/>
        <v>1224</v>
      </c>
      <c r="W47" s="2">
        <f t="shared" si="2"/>
        <v>68</v>
      </c>
    </row>
    <row r="48" spans="1:23" ht="12.75">
      <c r="A48">
        <v>1</v>
      </c>
      <c r="B48">
        <v>44</v>
      </c>
      <c r="C48" s="2">
        <f t="shared" si="6"/>
        <v>100.61538461538461</v>
      </c>
      <c r="D48" s="2">
        <f t="shared" si="7"/>
        <v>1.3846153846153846</v>
      </c>
      <c r="E48" s="2">
        <f t="shared" si="8"/>
        <v>10.061538461538461</v>
      </c>
      <c r="F48" s="2">
        <f t="shared" si="9"/>
        <v>0.13846153846153847</v>
      </c>
      <c r="G48" s="9">
        <f>_XLL.RISKOUTPUT(,"Contaminated food products during a shift",45)+D48/(C48+D48)</f>
        <v>0.013574660633484163</v>
      </c>
      <c r="H48" s="2">
        <f>IF(C48&lt;1,0,_XLL.RISKBINOMIAL(ROUND(C48,0),I48))</f>
        <v>0</v>
      </c>
      <c r="I48" s="8">
        <f t="shared" si="10"/>
        <v>5.569062148913506E-05</v>
      </c>
      <c r="J48" s="2">
        <f t="shared" si="3"/>
        <v>1220.7418090519864</v>
      </c>
      <c r="K48" s="2">
        <f t="shared" si="4"/>
        <v>3.2581909480136027</v>
      </c>
      <c r="L48" s="10">
        <f>_XLL.RISKOUTPUT(,"Contaminated food contact surfaces during a shift",45)+K48/(J48+K48)</f>
        <v>0.00266192070916144</v>
      </c>
      <c r="M48" s="2">
        <f>IF(J48&lt;1,0,_XLL.RISKBINOMIAL(ROUND(J48,0),N48))</f>
        <v>0</v>
      </c>
      <c r="N48" s="11">
        <f t="shared" si="11"/>
        <v>1.3308466217609727E-05</v>
      </c>
      <c r="O48" s="2">
        <f t="shared" si="12"/>
        <v>68</v>
      </c>
      <c r="P48" s="2">
        <f t="shared" si="13"/>
        <v>0</v>
      </c>
      <c r="Q48" s="10">
        <f>_XLL.RISKOUTPUT(,"Contaminated gloves during a shift",45)+P48/(O48+P48)</f>
        <v>0</v>
      </c>
      <c r="R48" s="2">
        <f>IF(O48&lt;1,0,_XLL.RISKBINOMIAL(ROUND(O48,0),S48))</f>
        <v>0</v>
      </c>
      <c r="S48" s="11">
        <f t="shared" si="5"/>
        <v>0.0002337817386286467</v>
      </c>
      <c r="U48" s="2">
        <f t="shared" si="0"/>
        <v>102</v>
      </c>
      <c r="V48" s="2">
        <f t="shared" si="1"/>
        <v>1224</v>
      </c>
      <c r="W48" s="2">
        <f t="shared" si="2"/>
        <v>68</v>
      </c>
    </row>
    <row r="49" spans="1:23" ht="12.75">
      <c r="A49">
        <v>1</v>
      </c>
      <c r="B49">
        <v>45</v>
      </c>
      <c r="C49" s="2">
        <f t="shared" si="6"/>
        <v>100.61538461538461</v>
      </c>
      <c r="D49" s="2">
        <f t="shared" si="7"/>
        <v>1.3846153846153846</v>
      </c>
      <c r="E49" s="2">
        <f t="shared" si="8"/>
        <v>10.061538461538461</v>
      </c>
      <c r="F49" s="2">
        <f t="shared" si="9"/>
        <v>0.13846153846153847</v>
      </c>
      <c r="G49" s="9">
        <f>_XLL.RISKOUTPUT(,"Contaminated food products during a shift",46)+D49/(C49+D49)</f>
        <v>0.013574660633484163</v>
      </c>
      <c r="H49" s="2">
        <f>IF(C49&lt;1,0,_XLL.RISKBINOMIAL(ROUND(C49,0),I49))</f>
        <v>0</v>
      </c>
      <c r="I49" s="8">
        <f t="shared" si="10"/>
        <v>5.569062148913506E-05</v>
      </c>
      <c r="J49" s="2">
        <f t="shared" si="3"/>
        <v>1220.7418090519864</v>
      </c>
      <c r="K49" s="2">
        <f t="shared" si="4"/>
        <v>3.2581909480136027</v>
      </c>
      <c r="L49" s="10">
        <f>_XLL.RISKOUTPUT(,"Contaminated food contact surfaces during a shift",46)+K49/(J49+K49)</f>
        <v>0.00266192070916144</v>
      </c>
      <c r="M49" s="2">
        <f>IF(J49&lt;1,0,_XLL.RISKBINOMIAL(ROUND(J49,0),N49))</f>
        <v>0</v>
      </c>
      <c r="N49" s="11">
        <f t="shared" si="11"/>
        <v>1.3308466217609727E-05</v>
      </c>
      <c r="O49" s="2">
        <f t="shared" si="12"/>
        <v>68</v>
      </c>
      <c r="P49" s="2">
        <f t="shared" si="13"/>
        <v>0</v>
      </c>
      <c r="Q49" s="10">
        <f>_XLL.RISKOUTPUT(,"Contaminated gloves during a shift",46)+P49/(O49+P49)</f>
        <v>0</v>
      </c>
      <c r="R49" s="2">
        <f>IF(O49&lt;1,0,_XLL.RISKBINOMIAL(ROUND(O49,0),S49))</f>
        <v>0</v>
      </c>
      <c r="S49" s="11">
        <f t="shared" si="5"/>
        <v>0.0002337817386286467</v>
      </c>
      <c r="U49" s="2">
        <f t="shared" si="0"/>
        <v>102</v>
      </c>
      <c r="V49" s="2">
        <f t="shared" si="1"/>
        <v>1224</v>
      </c>
      <c r="W49" s="2">
        <f t="shared" si="2"/>
        <v>68</v>
      </c>
    </row>
    <row r="50" spans="1:23" ht="12.75">
      <c r="A50">
        <v>1</v>
      </c>
      <c r="B50">
        <v>46</v>
      </c>
      <c r="C50" s="2">
        <f t="shared" si="6"/>
        <v>100.61538461538461</v>
      </c>
      <c r="D50" s="2">
        <f t="shared" si="7"/>
        <v>1.3846153846153846</v>
      </c>
      <c r="E50" s="2">
        <f t="shared" si="8"/>
        <v>10.061538461538461</v>
      </c>
      <c r="F50" s="2">
        <f t="shared" si="9"/>
        <v>0.13846153846153847</v>
      </c>
      <c r="G50" s="9">
        <f>_XLL.RISKOUTPUT(,"Contaminated food products during a shift",47)+D50/(C50+D50)</f>
        <v>0.013574660633484163</v>
      </c>
      <c r="H50" s="2">
        <f>IF(C50&lt;1,0,_XLL.RISKBINOMIAL(ROUND(C50,0),I50))</f>
        <v>0</v>
      </c>
      <c r="I50" s="8">
        <f t="shared" si="10"/>
        <v>5.569062148913506E-05</v>
      </c>
      <c r="J50" s="2">
        <f t="shared" si="3"/>
        <v>1220.7418090519864</v>
      </c>
      <c r="K50" s="2">
        <f t="shared" si="4"/>
        <v>3.2581909480136027</v>
      </c>
      <c r="L50" s="10">
        <f>_XLL.RISKOUTPUT(,"Contaminated food contact surfaces during a shift",47)+K50/(J50+K50)</f>
        <v>0.00266192070916144</v>
      </c>
      <c r="M50" s="2">
        <f>IF(J50&lt;1,0,_XLL.RISKBINOMIAL(ROUND(J50,0),N50))</f>
        <v>0</v>
      </c>
      <c r="N50" s="11">
        <f t="shared" si="11"/>
        <v>1.3308466217609727E-05</v>
      </c>
      <c r="O50" s="2">
        <f t="shared" si="12"/>
        <v>68</v>
      </c>
      <c r="P50" s="2">
        <f t="shared" si="13"/>
        <v>0</v>
      </c>
      <c r="Q50" s="10">
        <f>_XLL.RISKOUTPUT(,"Contaminated gloves during a shift",47)+P50/(O50+P50)</f>
        <v>0</v>
      </c>
      <c r="R50" s="2">
        <f>IF(O50&lt;1,0,_XLL.RISKBINOMIAL(ROUND(O50,0),S50))</f>
        <v>0</v>
      </c>
      <c r="S50" s="11">
        <f t="shared" si="5"/>
        <v>0.0002337817386286467</v>
      </c>
      <c r="U50" s="2">
        <f t="shared" si="0"/>
        <v>102</v>
      </c>
      <c r="V50" s="2">
        <f t="shared" si="1"/>
        <v>1224</v>
      </c>
      <c r="W50" s="2">
        <f t="shared" si="2"/>
        <v>68</v>
      </c>
    </row>
    <row r="51" spans="1:23" ht="12.75">
      <c r="A51">
        <v>1</v>
      </c>
      <c r="B51">
        <v>47</v>
      </c>
      <c r="C51" s="2">
        <f t="shared" si="6"/>
        <v>100.61538461538461</v>
      </c>
      <c r="D51" s="2">
        <f t="shared" si="7"/>
        <v>1.3846153846153846</v>
      </c>
      <c r="E51" s="2">
        <f t="shared" si="8"/>
        <v>10.061538461538461</v>
      </c>
      <c r="F51" s="2">
        <f t="shared" si="9"/>
        <v>0.13846153846153847</v>
      </c>
      <c r="G51" s="9">
        <f>_XLL.RISKOUTPUT(,"Contaminated food products during a shift",48)+D51/(C51+D51)</f>
        <v>0.013574660633484163</v>
      </c>
      <c r="H51" s="2">
        <f>IF(C51&lt;1,0,_XLL.RISKBINOMIAL(ROUND(C51,0),I51))</f>
        <v>0</v>
      </c>
      <c r="I51" s="8">
        <f t="shared" si="10"/>
        <v>5.569062148913506E-05</v>
      </c>
      <c r="J51" s="2">
        <f t="shared" si="3"/>
        <v>1220.7418090519864</v>
      </c>
      <c r="K51" s="2">
        <f t="shared" si="4"/>
        <v>3.2581909480136027</v>
      </c>
      <c r="L51" s="10">
        <f>_XLL.RISKOUTPUT(,"Contaminated food contact surfaces during a shift",48)+K51/(J51+K51)</f>
        <v>0.00266192070916144</v>
      </c>
      <c r="M51" s="2">
        <f>IF(J51&lt;1,0,_XLL.RISKBINOMIAL(ROUND(J51,0),N51))</f>
        <v>0</v>
      </c>
      <c r="N51" s="11">
        <f t="shared" si="11"/>
        <v>1.3308466217609727E-05</v>
      </c>
      <c r="O51" s="2">
        <f t="shared" si="12"/>
        <v>68</v>
      </c>
      <c r="P51" s="2">
        <f t="shared" si="13"/>
        <v>0</v>
      </c>
      <c r="Q51" s="10">
        <f>_XLL.RISKOUTPUT(,"Contaminated gloves during a shift",48)+P51/(O51+P51)</f>
        <v>0</v>
      </c>
      <c r="R51" s="2">
        <f>IF(O51&lt;1,0,_XLL.RISKBINOMIAL(ROUND(O51,0),S51))</f>
        <v>0</v>
      </c>
      <c r="S51" s="11">
        <f t="shared" si="5"/>
        <v>0.0002337817386286467</v>
      </c>
      <c r="U51" s="2">
        <f t="shared" si="0"/>
        <v>102</v>
      </c>
      <c r="V51" s="2">
        <f t="shared" si="1"/>
        <v>1224</v>
      </c>
      <c r="W51" s="2">
        <f t="shared" si="2"/>
        <v>68</v>
      </c>
    </row>
    <row r="52" spans="1:23" ht="12.75">
      <c r="A52">
        <v>1</v>
      </c>
      <c r="B52">
        <v>48</v>
      </c>
      <c r="C52" s="2">
        <f t="shared" si="6"/>
        <v>100.61538461538461</v>
      </c>
      <c r="D52" s="2">
        <f t="shared" si="7"/>
        <v>1.3846153846153846</v>
      </c>
      <c r="E52" s="2">
        <f t="shared" si="8"/>
        <v>10.061538461538461</v>
      </c>
      <c r="F52" s="2">
        <f t="shared" si="9"/>
        <v>0.13846153846153847</v>
      </c>
      <c r="G52" s="9">
        <f>_XLL.RISKOUTPUT(,"Contaminated food products during a shift",49)+D52/(C52+D52)</f>
        <v>0.013574660633484163</v>
      </c>
      <c r="H52" s="2">
        <f>IF(C52&lt;1,0,_XLL.RISKBINOMIAL(ROUND(C52,0),I52))</f>
        <v>0</v>
      </c>
      <c r="I52" s="8">
        <f t="shared" si="10"/>
        <v>5.569062148913506E-05</v>
      </c>
      <c r="J52" s="2">
        <f t="shared" si="3"/>
        <v>1220.7418090519864</v>
      </c>
      <c r="K52" s="2">
        <f t="shared" si="4"/>
        <v>3.2581909480136027</v>
      </c>
      <c r="L52" s="10">
        <f>_XLL.RISKOUTPUT(,"Contaminated food contact surfaces during a shift",49)+K52/(J52+K52)</f>
        <v>0.00266192070916144</v>
      </c>
      <c r="M52" s="2">
        <f>IF(J52&lt;1,0,_XLL.RISKBINOMIAL(ROUND(J52,0),N52))</f>
        <v>0</v>
      </c>
      <c r="N52" s="11">
        <f t="shared" si="11"/>
        <v>1.3308466217609727E-05</v>
      </c>
      <c r="O52" s="2">
        <f t="shared" si="12"/>
        <v>68</v>
      </c>
      <c r="P52" s="2">
        <f t="shared" si="13"/>
        <v>0</v>
      </c>
      <c r="Q52" s="10">
        <f>_XLL.RISKOUTPUT(,"Contaminated gloves during a shift",49)+P52/(O52+P52)</f>
        <v>0</v>
      </c>
      <c r="R52" s="2">
        <f>IF(O52&lt;1,0,_XLL.RISKBINOMIAL(ROUND(O52,0),S52))</f>
        <v>0</v>
      </c>
      <c r="S52" s="11">
        <f t="shared" si="5"/>
        <v>0.0002337817386286467</v>
      </c>
      <c r="U52" s="2">
        <f t="shared" si="0"/>
        <v>102</v>
      </c>
      <c r="V52" s="2">
        <f t="shared" si="1"/>
        <v>1224</v>
      </c>
      <c r="W52" s="2">
        <f t="shared" si="2"/>
        <v>68</v>
      </c>
    </row>
    <row r="53" spans="1:23" ht="12.75">
      <c r="A53">
        <v>1</v>
      </c>
      <c r="B53">
        <v>49</v>
      </c>
      <c r="C53" s="2">
        <f t="shared" si="6"/>
        <v>100.61538461538461</v>
      </c>
      <c r="D53" s="2">
        <f t="shared" si="7"/>
        <v>1.3846153846153846</v>
      </c>
      <c r="E53" s="2">
        <f t="shared" si="8"/>
        <v>10.061538461538461</v>
      </c>
      <c r="F53" s="2">
        <f t="shared" si="9"/>
        <v>0.13846153846153847</v>
      </c>
      <c r="G53" s="9">
        <f>_XLL.RISKOUTPUT(,"Contaminated food products during a shift",50)+D53/(C53+D53)</f>
        <v>0.013574660633484163</v>
      </c>
      <c r="H53" s="2">
        <f>IF(C53&lt;1,0,_XLL.RISKBINOMIAL(ROUND(C53,0),I53))</f>
        <v>0</v>
      </c>
      <c r="I53" s="8">
        <f t="shared" si="10"/>
        <v>5.569062148913506E-05</v>
      </c>
      <c r="J53" s="2">
        <f t="shared" si="3"/>
        <v>1220.7418090519864</v>
      </c>
      <c r="K53" s="2">
        <f t="shared" si="4"/>
        <v>3.2581909480136027</v>
      </c>
      <c r="L53" s="10">
        <f>_XLL.RISKOUTPUT(,"Contaminated food contact surfaces during a shift",50)+K53/(J53+K53)</f>
        <v>0.00266192070916144</v>
      </c>
      <c r="M53" s="2">
        <f>IF(J53&lt;1,0,_XLL.RISKBINOMIAL(ROUND(J53,0),N53))</f>
        <v>0</v>
      </c>
      <c r="N53" s="11">
        <f t="shared" si="11"/>
        <v>1.3308466217609727E-05</v>
      </c>
      <c r="O53" s="2">
        <f t="shared" si="12"/>
        <v>68</v>
      </c>
      <c r="P53" s="2">
        <f t="shared" si="13"/>
        <v>0</v>
      </c>
      <c r="Q53" s="10">
        <f>_XLL.RISKOUTPUT(,"Contaminated gloves during a shift",50)+P53/(O53+P53)</f>
        <v>0</v>
      </c>
      <c r="R53" s="2">
        <f>IF(O53&lt;1,0,_XLL.RISKBINOMIAL(ROUND(O53,0),S53))</f>
        <v>0</v>
      </c>
      <c r="S53" s="11">
        <f t="shared" si="5"/>
        <v>0.0002337817386286467</v>
      </c>
      <c r="U53" s="2">
        <f t="shared" si="0"/>
        <v>102</v>
      </c>
      <c r="V53" s="2">
        <f t="shared" si="1"/>
        <v>1224</v>
      </c>
      <c r="W53" s="2">
        <f t="shared" si="2"/>
        <v>68</v>
      </c>
    </row>
    <row r="54" spans="1:23" ht="12.75">
      <c r="A54">
        <v>1</v>
      </c>
      <c r="B54">
        <v>50</v>
      </c>
      <c r="C54" s="2">
        <f t="shared" si="6"/>
        <v>100.61538461538461</v>
      </c>
      <c r="D54" s="2">
        <f t="shared" si="7"/>
        <v>1.3846153846153846</v>
      </c>
      <c r="E54" s="2">
        <f t="shared" si="8"/>
        <v>10.061538461538461</v>
      </c>
      <c r="F54" s="2">
        <f t="shared" si="9"/>
        <v>0.13846153846153847</v>
      </c>
      <c r="G54" s="9">
        <f>_XLL.RISKOUTPUT(,"Contaminated food products during a shift",51)+D54/(C54+D54)</f>
        <v>0.013574660633484163</v>
      </c>
      <c r="H54" s="2">
        <f>IF(C54&lt;1,0,_XLL.RISKBINOMIAL(ROUND(C54,0),I54))</f>
        <v>0</v>
      </c>
      <c r="I54" s="8">
        <f t="shared" si="10"/>
        <v>5.569062148913506E-05</v>
      </c>
      <c r="J54" s="2">
        <f t="shared" si="3"/>
        <v>1220.7418090519864</v>
      </c>
      <c r="K54" s="2">
        <f t="shared" si="4"/>
        <v>3.2581909480136027</v>
      </c>
      <c r="L54" s="10">
        <f>_XLL.RISKOUTPUT(,"Contaminated food contact surfaces during a shift",51)+K54/(J54+K54)</f>
        <v>0.00266192070916144</v>
      </c>
      <c r="M54" s="2">
        <f>IF(J54&lt;1,0,_XLL.RISKBINOMIAL(ROUND(J54,0),N54))</f>
        <v>0</v>
      </c>
      <c r="N54" s="11">
        <f t="shared" si="11"/>
        <v>1.3308466217609727E-05</v>
      </c>
      <c r="O54" s="2">
        <f t="shared" si="12"/>
        <v>68</v>
      </c>
      <c r="P54" s="2">
        <f t="shared" si="13"/>
        <v>0</v>
      </c>
      <c r="Q54" s="10">
        <f>_XLL.RISKOUTPUT(,"Contaminated gloves during a shift",51)+P54/(O54+P54)</f>
        <v>0</v>
      </c>
      <c r="R54" s="2">
        <f>IF(O54&lt;1,0,_XLL.RISKBINOMIAL(ROUND(O54,0),S54))</f>
        <v>0</v>
      </c>
      <c r="S54" s="11">
        <f t="shared" si="5"/>
        <v>0.0002337817386286467</v>
      </c>
      <c r="U54" s="2">
        <f t="shared" si="0"/>
        <v>102</v>
      </c>
      <c r="V54" s="2">
        <f t="shared" si="1"/>
        <v>1224</v>
      </c>
      <c r="W54" s="2">
        <f t="shared" si="2"/>
        <v>68</v>
      </c>
    </row>
    <row r="55" spans="1:23" ht="12.75">
      <c r="A55">
        <v>1</v>
      </c>
      <c r="B55">
        <v>51</v>
      </c>
      <c r="C55" s="2">
        <f t="shared" si="6"/>
        <v>100.61538461538461</v>
      </c>
      <c r="D55" s="2">
        <f t="shared" si="7"/>
        <v>1.3846153846153846</v>
      </c>
      <c r="E55" s="2">
        <f t="shared" si="8"/>
        <v>10.061538461538461</v>
      </c>
      <c r="F55" s="2">
        <f t="shared" si="9"/>
        <v>0.13846153846153847</v>
      </c>
      <c r="G55" s="9">
        <f>_XLL.RISKOUTPUT(,"Contaminated food products during a shift",52)+D55/(C55+D55)</f>
        <v>0.013574660633484163</v>
      </c>
      <c r="H55" s="2">
        <f>IF(C55&lt;1,0,_XLL.RISKBINOMIAL(ROUND(C55,0),I55))</f>
        <v>0</v>
      </c>
      <c r="I55" s="8">
        <f t="shared" si="10"/>
        <v>5.569062148913506E-05</v>
      </c>
      <c r="J55" s="2">
        <f t="shared" si="3"/>
        <v>1220.7418090519864</v>
      </c>
      <c r="K55" s="2">
        <f t="shared" si="4"/>
        <v>3.2581909480136027</v>
      </c>
      <c r="L55" s="10">
        <f>_XLL.RISKOUTPUT(,"Contaminated food contact surfaces during a shift",52)+K55/(J55+K55)</f>
        <v>0.00266192070916144</v>
      </c>
      <c r="M55" s="2">
        <f>IF(J55&lt;1,0,_XLL.RISKBINOMIAL(ROUND(J55,0),N55))</f>
        <v>0</v>
      </c>
      <c r="N55" s="11">
        <f t="shared" si="11"/>
        <v>1.3308466217609727E-05</v>
      </c>
      <c r="O55" s="2">
        <f t="shared" si="12"/>
        <v>68</v>
      </c>
      <c r="P55" s="2">
        <f t="shared" si="13"/>
        <v>0</v>
      </c>
      <c r="Q55" s="10">
        <f>_XLL.RISKOUTPUT(,"Contaminated gloves during a shift",52)+P55/(O55+P55)</f>
        <v>0</v>
      </c>
      <c r="R55" s="2">
        <f>IF(O55&lt;1,0,_XLL.RISKBINOMIAL(ROUND(O55,0),S55))</f>
        <v>0</v>
      </c>
      <c r="S55" s="11">
        <f t="shared" si="5"/>
        <v>0.0002337817386286467</v>
      </c>
      <c r="U55" s="2">
        <f t="shared" si="0"/>
        <v>102</v>
      </c>
      <c r="V55" s="2">
        <f t="shared" si="1"/>
        <v>1224</v>
      </c>
      <c r="W55" s="2">
        <f t="shared" si="2"/>
        <v>68</v>
      </c>
    </row>
    <row r="56" spans="1:23" ht="12.75">
      <c r="A56">
        <v>1</v>
      </c>
      <c r="B56">
        <v>52</v>
      </c>
      <c r="C56" s="2">
        <f t="shared" si="6"/>
        <v>100.61538461538461</v>
      </c>
      <c r="D56" s="2">
        <f t="shared" si="7"/>
        <v>1.3846153846153846</v>
      </c>
      <c r="E56" s="2">
        <f t="shared" si="8"/>
        <v>10.061538461538461</v>
      </c>
      <c r="F56" s="2">
        <f t="shared" si="9"/>
        <v>0.13846153846153847</v>
      </c>
      <c r="G56" s="9">
        <f>_XLL.RISKOUTPUT(,"Contaminated food products during a shift",53)+D56/(C56+D56)</f>
        <v>0.013574660633484163</v>
      </c>
      <c r="H56" s="2">
        <f>IF(C56&lt;1,0,_XLL.RISKBINOMIAL(ROUND(C56,0),I56))</f>
        <v>0</v>
      </c>
      <c r="I56" s="8">
        <f t="shared" si="10"/>
        <v>5.569062148913506E-05</v>
      </c>
      <c r="J56" s="2">
        <f t="shared" si="3"/>
        <v>1220.7418090519864</v>
      </c>
      <c r="K56" s="2">
        <f t="shared" si="4"/>
        <v>3.2581909480136027</v>
      </c>
      <c r="L56" s="10">
        <f>_XLL.RISKOUTPUT(,"Contaminated food contact surfaces during a shift",53)+K56/(J56+K56)</f>
        <v>0.00266192070916144</v>
      </c>
      <c r="M56" s="2">
        <f>IF(J56&lt;1,0,_XLL.RISKBINOMIAL(ROUND(J56,0),N56))</f>
        <v>0</v>
      </c>
      <c r="N56" s="11">
        <f t="shared" si="11"/>
        <v>1.3308466217609727E-05</v>
      </c>
      <c r="O56" s="2">
        <f t="shared" si="12"/>
        <v>68</v>
      </c>
      <c r="P56" s="2">
        <f t="shared" si="13"/>
        <v>0</v>
      </c>
      <c r="Q56" s="10">
        <f>_XLL.RISKOUTPUT(,"Contaminated gloves during a shift",53)+P56/(O56+P56)</f>
        <v>0</v>
      </c>
      <c r="R56" s="2">
        <f>IF(O56&lt;1,0,_XLL.RISKBINOMIAL(ROUND(O56,0),S56))</f>
        <v>0</v>
      </c>
      <c r="S56" s="11">
        <f t="shared" si="5"/>
        <v>0.0002337817386286467</v>
      </c>
      <c r="U56" s="2">
        <f t="shared" si="0"/>
        <v>102</v>
      </c>
      <c r="V56" s="2">
        <f t="shared" si="1"/>
        <v>1224</v>
      </c>
      <c r="W56" s="2">
        <f t="shared" si="2"/>
        <v>68</v>
      </c>
    </row>
    <row r="57" spans="1:23" ht="12.75">
      <c r="A57">
        <v>1</v>
      </c>
      <c r="B57">
        <v>53</v>
      </c>
      <c r="C57" s="2">
        <f t="shared" si="6"/>
        <v>100.61538461538461</v>
      </c>
      <c r="D57" s="2">
        <f t="shared" si="7"/>
        <v>1.3846153846153846</v>
      </c>
      <c r="E57" s="2">
        <f t="shared" si="8"/>
        <v>10.061538461538461</v>
      </c>
      <c r="F57" s="2">
        <f t="shared" si="9"/>
        <v>0.13846153846153847</v>
      </c>
      <c r="G57" s="9">
        <f>_XLL.RISKOUTPUT(,"Contaminated food products during a shift",54)+D57/(C57+D57)</f>
        <v>0.013574660633484163</v>
      </c>
      <c r="H57" s="2">
        <f>IF(C57&lt;1,0,_XLL.RISKBINOMIAL(ROUND(C57,0),I57))</f>
        <v>0</v>
      </c>
      <c r="I57" s="8">
        <f t="shared" si="10"/>
        <v>5.569062148913506E-05</v>
      </c>
      <c r="J57" s="2">
        <f t="shared" si="3"/>
        <v>1220.7418090519864</v>
      </c>
      <c r="K57" s="2">
        <f t="shared" si="4"/>
        <v>3.2581909480136027</v>
      </c>
      <c r="L57" s="10">
        <f>_XLL.RISKOUTPUT(,"Contaminated food contact surfaces during a shift",54)+K57/(J57+K57)</f>
        <v>0.00266192070916144</v>
      </c>
      <c r="M57" s="2">
        <f>IF(J57&lt;1,0,_XLL.RISKBINOMIAL(ROUND(J57,0),N57))</f>
        <v>0</v>
      </c>
      <c r="N57" s="11">
        <f t="shared" si="11"/>
        <v>1.3308466217609727E-05</v>
      </c>
      <c r="O57" s="2">
        <f t="shared" si="12"/>
        <v>68</v>
      </c>
      <c r="P57" s="2">
        <f t="shared" si="13"/>
        <v>0</v>
      </c>
      <c r="Q57" s="10">
        <f>_XLL.RISKOUTPUT(,"Contaminated gloves during a shift",54)+P57/(O57+P57)</f>
        <v>0</v>
      </c>
      <c r="R57" s="2">
        <f>IF(O57&lt;1,0,_XLL.RISKBINOMIAL(ROUND(O57,0),S57))</f>
        <v>0</v>
      </c>
      <c r="S57" s="11">
        <f t="shared" si="5"/>
        <v>0.0002337817386286467</v>
      </c>
      <c r="U57" s="2">
        <f t="shared" si="0"/>
        <v>102</v>
      </c>
      <c r="V57" s="2">
        <f t="shared" si="1"/>
        <v>1224</v>
      </c>
      <c r="W57" s="2">
        <f t="shared" si="2"/>
        <v>68</v>
      </c>
    </row>
    <row r="58" spans="1:23" ht="12.75">
      <c r="A58">
        <v>1</v>
      </c>
      <c r="B58">
        <v>54</v>
      </c>
      <c r="C58" s="2">
        <f t="shared" si="6"/>
        <v>100.61538461538461</v>
      </c>
      <c r="D58" s="2">
        <f t="shared" si="7"/>
        <v>1.3846153846153846</v>
      </c>
      <c r="E58" s="2">
        <f t="shared" si="8"/>
        <v>10.061538461538461</v>
      </c>
      <c r="F58" s="2">
        <f t="shared" si="9"/>
        <v>0.13846153846153847</v>
      </c>
      <c r="G58" s="9">
        <f>_XLL.RISKOUTPUT(,"Contaminated food products during a shift",55)+D58/(C58+D58)</f>
        <v>0.013574660633484163</v>
      </c>
      <c r="H58" s="2">
        <f>IF(C58&lt;1,0,_XLL.RISKBINOMIAL(ROUND(C58,0),I58))</f>
        <v>0</v>
      </c>
      <c r="I58" s="8">
        <f t="shared" si="10"/>
        <v>5.569062148913506E-05</v>
      </c>
      <c r="J58" s="2">
        <f t="shared" si="3"/>
        <v>1220.7418090519864</v>
      </c>
      <c r="K58" s="2">
        <f t="shared" si="4"/>
        <v>3.2581909480136027</v>
      </c>
      <c r="L58" s="10">
        <f>_XLL.RISKOUTPUT(,"Contaminated food contact surfaces during a shift",55)+K58/(J58+K58)</f>
        <v>0.00266192070916144</v>
      </c>
      <c r="M58" s="2">
        <f>IF(J58&lt;1,0,_XLL.RISKBINOMIAL(ROUND(J58,0),N58))</f>
        <v>0</v>
      </c>
      <c r="N58" s="11">
        <f t="shared" si="11"/>
        <v>1.3308466217609727E-05</v>
      </c>
      <c r="O58" s="2">
        <f t="shared" si="12"/>
        <v>68</v>
      </c>
      <c r="P58" s="2">
        <f t="shared" si="13"/>
        <v>0</v>
      </c>
      <c r="Q58" s="10">
        <f>_XLL.RISKOUTPUT(,"Contaminated gloves during a shift",55)+P58/(O58+P58)</f>
        <v>0</v>
      </c>
      <c r="R58" s="2">
        <f>IF(O58&lt;1,0,_XLL.RISKBINOMIAL(ROUND(O58,0),S58))</f>
        <v>0</v>
      </c>
      <c r="S58" s="11">
        <f t="shared" si="5"/>
        <v>0.0002337817386286467</v>
      </c>
      <c r="U58" s="2">
        <f t="shared" si="0"/>
        <v>102</v>
      </c>
      <c r="V58" s="2">
        <f t="shared" si="1"/>
        <v>1224</v>
      </c>
      <c r="W58" s="2">
        <f t="shared" si="2"/>
        <v>68</v>
      </c>
    </row>
    <row r="59" spans="1:23" ht="12.75">
      <c r="A59">
        <v>1</v>
      </c>
      <c r="B59">
        <v>55</v>
      </c>
      <c r="C59" s="2">
        <f t="shared" si="6"/>
        <v>100.61538461538461</v>
      </c>
      <c r="D59" s="2">
        <f t="shared" si="7"/>
        <v>1.3846153846153846</v>
      </c>
      <c r="E59" s="2">
        <f t="shared" si="8"/>
        <v>10.061538461538461</v>
      </c>
      <c r="F59" s="2">
        <f t="shared" si="9"/>
        <v>0.13846153846153847</v>
      </c>
      <c r="G59" s="9">
        <f>_XLL.RISKOUTPUT(,"Contaminated food products during a shift",56)+D59/(C59+D59)</f>
        <v>0.013574660633484163</v>
      </c>
      <c r="H59" s="2">
        <f>IF(C59&lt;1,0,_XLL.RISKBINOMIAL(ROUND(C59,0),I59))</f>
        <v>0</v>
      </c>
      <c r="I59" s="8">
        <f t="shared" si="10"/>
        <v>5.569062148913506E-05</v>
      </c>
      <c r="J59" s="2">
        <f t="shared" si="3"/>
        <v>1220.7418090519864</v>
      </c>
      <c r="K59" s="2">
        <f t="shared" si="4"/>
        <v>3.2581909480136027</v>
      </c>
      <c r="L59" s="10">
        <f>_XLL.RISKOUTPUT(,"Contaminated food contact surfaces during a shift",56)+K59/(J59+K59)</f>
        <v>0.00266192070916144</v>
      </c>
      <c r="M59" s="2">
        <f>IF(J59&lt;1,0,_XLL.RISKBINOMIAL(ROUND(J59,0),N59))</f>
        <v>0</v>
      </c>
      <c r="N59" s="11">
        <f t="shared" si="11"/>
        <v>1.3308466217609727E-05</v>
      </c>
      <c r="O59" s="2">
        <f t="shared" si="12"/>
        <v>68</v>
      </c>
      <c r="P59" s="2">
        <f t="shared" si="13"/>
        <v>0</v>
      </c>
      <c r="Q59" s="10">
        <f>_XLL.RISKOUTPUT(,"Contaminated gloves during a shift",56)+P59/(O59+P59)</f>
        <v>0</v>
      </c>
      <c r="R59" s="2">
        <f>IF(O59&lt;1,0,_XLL.RISKBINOMIAL(ROUND(O59,0),S59))</f>
        <v>0</v>
      </c>
      <c r="S59" s="11">
        <f t="shared" si="5"/>
        <v>0.0002337817386286467</v>
      </c>
      <c r="U59" s="2">
        <f t="shared" si="0"/>
        <v>102</v>
      </c>
      <c r="V59" s="2">
        <f t="shared" si="1"/>
        <v>1224</v>
      </c>
      <c r="W59" s="2">
        <f t="shared" si="2"/>
        <v>68</v>
      </c>
    </row>
    <row r="60" spans="1:23" ht="12.75">
      <c r="A60">
        <v>1</v>
      </c>
      <c r="B60">
        <v>56</v>
      </c>
      <c r="C60" s="2">
        <f t="shared" si="6"/>
        <v>100.61538461538461</v>
      </c>
      <c r="D60" s="2">
        <f t="shared" si="7"/>
        <v>1.3846153846153846</v>
      </c>
      <c r="E60" s="2">
        <f t="shared" si="8"/>
        <v>10.061538461538461</v>
      </c>
      <c r="F60" s="2">
        <f t="shared" si="9"/>
        <v>0.13846153846153847</v>
      </c>
      <c r="G60" s="9">
        <f>_XLL.RISKOUTPUT(,"Contaminated food products during a shift",57)+D60/(C60+D60)</f>
        <v>0.013574660633484163</v>
      </c>
      <c r="H60" s="2">
        <f>IF(C60&lt;1,0,_XLL.RISKBINOMIAL(ROUND(C60,0),I60))</f>
        <v>0</v>
      </c>
      <c r="I60" s="8">
        <f t="shared" si="10"/>
        <v>5.569062148913506E-05</v>
      </c>
      <c r="J60" s="2">
        <f t="shared" si="3"/>
        <v>1220.7418090519864</v>
      </c>
      <c r="K60" s="2">
        <f t="shared" si="4"/>
        <v>3.2581909480136027</v>
      </c>
      <c r="L60" s="10">
        <f>_XLL.RISKOUTPUT(,"Contaminated food contact surfaces during a shift",57)+K60/(J60+K60)</f>
        <v>0.00266192070916144</v>
      </c>
      <c r="M60" s="2">
        <f>IF(J60&lt;1,0,_XLL.RISKBINOMIAL(ROUND(J60,0),N60))</f>
        <v>0</v>
      </c>
      <c r="N60" s="11">
        <f t="shared" si="11"/>
        <v>1.3308466217609727E-05</v>
      </c>
      <c r="O60" s="2">
        <f t="shared" si="12"/>
        <v>68</v>
      </c>
      <c r="P60" s="2">
        <f t="shared" si="13"/>
        <v>0</v>
      </c>
      <c r="Q60" s="10">
        <f>_XLL.RISKOUTPUT(,"Contaminated gloves during a shift",57)+P60/(O60+P60)</f>
        <v>0</v>
      </c>
      <c r="R60" s="2">
        <f>IF(O60&lt;1,0,_XLL.RISKBINOMIAL(ROUND(O60,0),S60))</f>
        <v>0</v>
      </c>
      <c r="S60" s="11">
        <f t="shared" si="5"/>
        <v>0.0002337817386286467</v>
      </c>
      <c r="U60" s="2">
        <f t="shared" si="0"/>
        <v>102</v>
      </c>
      <c r="V60" s="2">
        <f t="shared" si="1"/>
        <v>1224</v>
      </c>
      <c r="W60" s="2">
        <f t="shared" si="2"/>
        <v>68</v>
      </c>
    </row>
    <row r="61" spans="1:23" ht="12.75">
      <c r="A61">
        <v>1</v>
      </c>
      <c r="B61">
        <v>57</v>
      </c>
      <c r="C61" s="2">
        <f t="shared" si="6"/>
        <v>100.61538461538461</v>
      </c>
      <c r="D61" s="2">
        <f t="shared" si="7"/>
        <v>1.3846153846153846</v>
      </c>
      <c r="E61" s="2">
        <f t="shared" si="8"/>
        <v>10.061538461538461</v>
      </c>
      <c r="F61" s="2">
        <f t="shared" si="9"/>
        <v>0.13846153846153847</v>
      </c>
      <c r="G61" s="9">
        <f>_XLL.RISKOUTPUT(,"Contaminated food products during a shift",58)+D61/(C61+D61)</f>
        <v>0.013574660633484163</v>
      </c>
      <c r="H61" s="2">
        <f>IF(C61&lt;1,0,_XLL.RISKBINOMIAL(ROUND(C61,0),I61))</f>
        <v>0</v>
      </c>
      <c r="I61" s="8">
        <f t="shared" si="10"/>
        <v>5.569062148913506E-05</v>
      </c>
      <c r="J61" s="2">
        <f t="shared" si="3"/>
        <v>1220.7418090519864</v>
      </c>
      <c r="K61" s="2">
        <f t="shared" si="4"/>
        <v>3.2581909480136027</v>
      </c>
      <c r="L61" s="10">
        <f>_XLL.RISKOUTPUT(,"Contaminated food contact surfaces during a shift",58)+K61/(J61+K61)</f>
        <v>0.00266192070916144</v>
      </c>
      <c r="M61" s="2">
        <f>IF(J61&lt;1,0,_XLL.RISKBINOMIAL(ROUND(J61,0),N61))</f>
        <v>0</v>
      </c>
      <c r="N61" s="11">
        <f t="shared" si="11"/>
        <v>1.3308466217609727E-05</v>
      </c>
      <c r="O61" s="2">
        <f t="shared" si="12"/>
        <v>68</v>
      </c>
      <c r="P61" s="2">
        <f t="shared" si="13"/>
        <v>0</v>
      </c>
      <c r="Q61" s="10">
        <f>_XLL.RISKOUTPUT(,"Contaminated gloves during a shift",58)+P61/(O61+P61)</f>
        <v>0</v>
      </c>
      <c r="R61" s="2">
        <f>IF(O61&lt;1,0,_XLL.RISKBINOMIAL(ROUND(O61,0),S61))</f>
        <v>0</v>
      </c>
      <c r="S61" s="11">
        <f t="shared" si="5"/>
        <v>0.0002337817386286467</v>
      </c>
      <c r="U61" s="2">
        <f t="shared" si="0"/>
        <v>102</v>
      </c>
      <c r="V61" s="2">
        <f t="shared" si="1"/>
        <v>1224</v>
      </c>
      <c r="W61" s="2">
        <f t="shared" si="2"/>
        <v>68</v>
      </c>
    </row>
    <row r="62" spans="1:23" ht="12.75">
      <c r="A62">
        <v>1</v>
      </c>
      <c r="B62">
        <v>58</v>
      </c>
      <c r="C62" s="2">
        <f t="shared" si="6"/>
        <v>100.61538461538461</v>
      </c>
      <c r="D62" s="2">
        <f t="shared" si="7"/>
        <v>1.3846153846153846</v>
      </c>
      <c r="E62" s="2">
        <f t="shared" si="8"/>
        <v>10.061538461538461</v>
      </c>
      <c r="F62" s="2">
        <f t="shared" si="9"/>
        <v>0.13846153846153847</v>
      </c>
      <c r="G62" s="9">
        <f>_XLL.RISKOUTPUT(,"Contaminated food products during a shift",59)+D62/(C62+D62)</f>
        <v>0.013574660633484163</v>
      </c>
      <c r="H62" s="2">
        <f>IF(C62&lt;1,0,_XLL.RISKBINOMIAL(ROUND(C62,0),I62))</f>
        <v>0</v>
      </c>
      <c r="I62" s="8">
        <f t="shared" si="10"/>
        <v>5.569062148913506E-05</v>
      </c>
      <c r="J62" s="2">
        <f t="shared" si="3"/>
        <v>1220.7418090519864</v>
      </c>
      <c r="K62" s="2">
        <f t="shared" si="4"/>
        <v>3.2581909480136027</v>
      </c>
      <c r="L62" s="10">
        <f>_XLL.RISKOUTPUT(,"Contaminated food contact surfaces during a shift",59)+K62/(J62+K62)</f>
        <v>0.00266192070916144</v>
      </c>
      <c r="M62" s="2">
        <f>IF(J62&lt;1,0,_XLL.RISKBINOMIAL(ROUND(J62,0),N62))</f>
        <v>0</v>
      </c>
      <c r="N62" s="11">
        <f t="shared" si="11"/>
        <v>1.3308466217609727E-05</v>
      </c>
      <c r="O62" s="2">
        <f t="shared" si="12"/>
        <v>68</v>
      </c>
      <c r="P62" s="2">
        <f t="shared" si="13"/>
        <v>0</v>
      </c>
      <c r="Q62" s="10">
        <f>_XLL.RISKOUTPUT(,"Contaminated gloves during a shift",59)+P62/(O62+P62)</f>
        <v>0</v>
      </c>
      <c r="R62" s="2">
        <f>IF(O62&lt;1,0,_XLL.RISKBINOMIAL(ROUND(O62,0),S62))</f>
        <v>0</v>
      </c>
      <c r="S62" s="11">
        <f t="shared" si="5"/>
        <v>0.0002337817386286467</v>
      </c>
      <c r="U62" s="2">
        <f t="shared" si="0"/>
        <v>102</v>
      </c>
      <c r="V62" s="2">
        <f t="shared" si="1"/>
        <v>1224</v>
      </c>
      <c r="W62" s="2">
        <f t="shared" si="2"/>
        <v>68</v>
      </c>
    </row>
    <row r="63" spans="1:23" ht="12.75">
      <c r="A63">
        <v>1</v>
      </c>
      <c r="B63">
        <v>59</v>
      </c>
      <c r="C63" s="2">
        <f t="shared" si="6"/>
        <v>100.61538461538461</v>
      </c>
      <c r="D63" s="2">
        <f t="shared" si="7"/>
        <v>1.3846153846153846</v>
      </c>
      <c r="E63" s="2">
        <f t="shared" si="8"/>
        <v>10.061538461538461</v>
      </c>
      <c r="F63" s="2">
        <f t="shared" si="9"/>
        <v>0.13846153846153847</v>
      </c>
      <c r="G63" s="9">
        <f>_XLL.RISKOUTPUT(,"Contaminated food products during a shift",60)+D63/(C63+D63)</f>
        <v>0.013574660633484163</v>
      </c>
      <c r="H63" s="2">
        <f>IF(C63&lt;1,0,_XLL.RISKBINOMIAL(ROUND(C63,0),I63))</f>
        <v>0</v>
      </c>
      <c r="I63" s="8">
        <f t="shared" si="10"/>
        <v>5.569062148913506E-05</v>
      </c>
      <c r="J63" s="2">
        <f t="shared" si="3"/>
        <v>1220.7418090519864</v>
      </c>
      <c r="K63" s="2">
        <f t="shared" si="4"/>
        <v>3.2581909480136027</v>
      </c>
      <c r="L63" s="10">
        <f>_XLL.RISKOUTPUT(,"Contaminated food contact surfaces during a shift",60)+K63/(J63+K63)</f>
        <v>0.00266192070916144</v>
      </c>
      <c r="M63" s="2">
        <f>IF(J63&lt;1,0,_XLL.RISKBINOMIAL(ROUND(J63,0),N63))</f>
        <v>0</v>
      </c>
      <c r="N63" s="11">
        <f t="shared" si="11"/>
        <v>1.3308466217609727E-05</v>
      </c>
      <c r="O63" s="2">
        <f t="shared" si="12"/>
        <v>68</v>
      </c>
      <c r="P63" s="2">
        <f t="shared" si="13"/>
        <v>0</v>
      </c>
      <c r="Q63" s="10">
        <f>_XLL.RISKOUTPUT(,"Contaminated gloves during a shift",60)+P63/(O63+P63)</f>
        <v>0</v>
      </c>
      <c r="R63" s="2">
        <f>IF(O63&lt;1,0,_XLL.RISKBINOMIAL(ROUND(O63,0),S63))</f>
        <v>0</v>
      </c>
      <c r="S63" s="11">
        <f t="shared" si="5"/>
        <v>0.0002337817386286467</v>
      </c>
      <c r="U63" s="2">
        <f t="shared" si="0"/>
        <v>102</v>
      </c>
      <c r="V63" s="2">
        <f t="shared" si="1"/>
        <v>1224</v>
      </c>
      <c r="W63" s="2">
        <f t="shared" si="2"/>
        <v>68</v>
      </c>
    </row>
    <row r="64" spans="1:23" ht="12.75">
      <c r="A64">
        <v>1</v>
      </c>
      <c r="B64">
        <v>60</v>
      </c>
      <c r="C64" s="2">
        <f t="shared" si="6"/>
        <v>100.61538461538461</v>
      </c>
      <c r="D64" s="2">
        <f t="shared" si="7"/>
        <v>1.3846153846153846</v>
      </c>
      <c r="E64" s="2">
        <f t="shared" si="8"/>
        <v>10.061538461538461</v>
      </c>
      <c r="F64" s="2">
        <f t="shared" si="9"/>
        <v>0.13846153846153847</v>
      </c>
      <c r="G64" s="9">
        <f>_XLL.RISKOUTPUT(,"Contaminated food products during a shift",61)+D64/(C64+D64)</f>
        <v>0.013574660633484163</v>
      </c>
      <c r="H64" s="2">
        <f>IF(C64&lt;1,0,_XLL.RISKBINOMIAL(ROUND(C64,0),I64))</f>
        <v>0</v>
      </c>
      <c r="I64" s="8">
        <f t="shared" si="10"/>
        <v>5.569062148913506E-05</v>
      </c>
      <c r="J64" s="2">
        <f t="shared" si="3"/>
        <v>1220.7418090519864</v>
      </c>
      <c r="K64" s="2">
        <f t="shared" si="4"/>
        <v>3.2581909480136027</v>
      </c>
      <c r="L64" s="10">
        <f>_XLL.RISKOUTPUT(,"Contaminated food contact surfaces during a shift",61)+K64/(J64+K64)</f>
        <v>0.00266192070916144</v>
      </c>
      <c r="M64" s="2">
        <f>IF(J64&lt;1,0,_XLL.RISKBINOMIAL(ROUND(J64,0),N64))</f>
        <v>0</v>
      </c>
      <c r="N64" s="11">
        <f t="shared" si="11"/>
        <v>1.3308466217609727E-05</v>
      </c>
      <c r="O64" s="2">
        <f t="shared" si="12"/>
        <v>68</v>
      </c>
      <c r="P64" s="2">
        <f t="shared" si="13"/>
        <v>0</v>
      </c>
      <c r="Q64" s="10">
        <f>_XLL.RISKOUTPUT(,"Contaminated gloves during a shift",61)+P64/(O64+P64)</f>
        <v>0</v>
      </c>
      <c r="R64" s="2">
        <f>IF(O64&lt;1,0,_XLL.RISKBINOMIAL(ROUND(O64,0),S64))</f>
        <v>0</v>
      </c>
      <c r="S64" s="11">
        <f t="shared" si="5"/>
        <v>0.0002337817386286467</v>
      </c>
      <c r="U64" s="2">
        <f t="shared" si="0"/>
        <v>102</v>
      </c>
      <c r="V64" s="2">
        <f t="shared" si="1"/>
        <v>1224</v>
      </c>
      <c r="W64" s="2">
        <f t="shared" si="2"/>
        <v>68</v>
      </c>
    </row>
    <row r="65" spans="1:23" ht="12.75">
      <c r="A65">
        <v>1</v>
      </c>
      <c r="B65">
        <v>61</v>
      </c>
      <c r="C65" s="2">
        <f t="shared" si="6"/>
        <v>100.61538461538461</v>
      </c>
      <c r="D65" s="2">
        <f t="shared" si="7"/>
        <v>1.3846153846153846</v>
      </c>
      <c r="E65" s="2">
        <f t="shared" si="8"/>
        <v>10.061538461538461</v>
      </c>
      <c r="F65" s="2">
        <f t="shared" si="9"/>
        <v>0.13846153846153847</v>
      </c>
      <c r="G65" s="9">
        <f>_XLL.RISKOUTPUT(,"Contaminated food products during a shift",62)+D65/(C65+D65)</f>
        <v>0.013574660633484163</v>
      </c>
      <c r="H65" s="2">
        <f>IF(C65&lt;1,0,_XLL.RISKBINOMIAL(ROUND(C65,0),I65))</f>
        <v>0</v>
      </c>
      <c r="I65" s="8">
        <f t="shared" si="10"/>
        <v>5.569062148913506E-05</v>
      </c>
      <c r="J65" s="2">
        <f t="shared" si="3"/>
        <v>1220.7418090519864</v>
      </c>
      <c r="K65" s="2">
        <f t="shared" si="4"/>
        <v>3.2581909480136027</v>
      </c>
      <c r="L65" s="10">
        <f>_XLL.RISKOUTPUT(,"Contaminated food contact surfaces during a shift",62)+K65/(J65+K65)</f>
        <v>0.00266192070916144</v>
      </c>
      <c r="M65" s="2">
        <f>IF(J65&lt;1,0,_XLL.RISKBINOMIAL(ROUND(J65,0),N65))</f>
        <v>0</v>
      </c>
      <c r="N65" s="11">
        <f t="shared" si="11"/>
        <v>1.3308466217609727E-05</v>
      </c>
      <c r="O65" s="2">
        <f t="shared" si="12"/>
        <v>68</v>
      </c>
      <c r="P65" s="2">
        <f t="shared" si="13"/>
        <v>0</v>
      </c>
      <c r="Q65" s="10">
        <f>_XLL.RISKOUTPUT(,"Contaminated gloves during a shift",62)+P65/(O65+P65)</f>
        <v>0</v>
      </c>
      <c r="R65" s="2">
        <f>IF(O65&lt;1,0,_XLL.RISKBINOMIAL(ROUND(O65,0),S65))</f>
        <v>0</v>
      </c>
      <c r="S65" s="11">
        <f t="shared" si="5"/>
        <v>0.0002337817386286467</v>
      </c>
      <c r="U65" s="2">
        <f t="shared" si="0"/>
        <v>102</v>
      </c>
      <c r="V65" s="2">
        <f t="shared" si="1"/>
        <v>1224</v>
      </c>
      <c r="W65" s="2">
        <f t="shared" si="2"/>
        <v>68</v>
      </c>
    </row>
    <row r="66" spans="1:23" ht="12.75">
      <c r="A66">
        <v>1</v>
      </c>
      <c r="B66">
        <v>62</v>
      </c>
      <c r="C66" s="2">
        <f t="shared" si="6"/>
        <v>100.61538461538461</v>
      </c>
      <c r="D66" s="2">
        <f t="shared" si="7"/>
        <v>1.3846153846153846</v>
      </c>
      <c r="E66" s="2">
        <f t="shared" si="8"/>
        <v>10.061538461538461</v>
      </c>
      <c r="F66" s="2">
        <f t="shared" si="9"/>
        <v>0.13846153846153847</v>
      </c>
      <c r="G66" s="9">
        <f>_XLL.RISKOUTPUT(,"Contaminated food products during a shift",63)+D66/(C66+D66)</f>
        <v>0.013574660633484163</v>
      </c>
      <c r="H66" s="2">
        <f>IF(C66&lt;1,0,_XLL.RISKBINOMIAL(ROUND(C66,0),I66))</f>
        <v>0</v>
      </c>
      <c r="I66" s="8">
        <f t="shared" si="10"/>
        <v>5.569062148913506E-05</v>
      </c>
      <c r="J66" s="2">
        <f t="shared" si="3"/>
        <v>1220.7418090519864</v>
      </c>
      <c r="K66" s="2">
        <f t="shared" si="4"/>
        <v>3.2581909480136027</v>
      </c>
      <c r="L66" s="10">
        <f>_XLL.RISKOUTPUT(,"Contaminated food contact surfaces during a shift",63)+K66/(J66+K66)</f>
        <v>0.00266192070916144</v>
      </c>
      <c r="M66" s="2">
        <f>IF(J66&lt;1,0,_XLL.RISKBINOMIAL(ROUND(J66,0),N66))</f>
        <v>0</v>
      </c>
      <c r="N66" s="11">
        <f t="shared" si="11"/>
        <v>1.3308466217609727E-05</v>
      </c>
      <c r="O66" s="2">
        <f t="shared" si="12"/>
        <v>68</v>
      </c>
      <c r="P66" s="2">
        <f t="shared" si="13"/>
        <v>0</v>
      </c>
      <c r="Q66" s="10">
        <f>_XLL.RISKOUTPUT(,"Contaminated gloves during a shift",63)+P66/(O66+P66)</f>
        <v>0</v>
      </c>
      <c r="R66" s="2">
        <f>IF(O66&lt;1,0,_XLL.RISKBINOMIAL(ROUND(O66,0),S66))</f>
        <v>0</v>
      </c>
      <c r="S66" s="11">
        <f t="shared" si="5"/>
        <v>0.0002337817386286467</v>
      </c>
      <c r="U66" s="2">
        <f t="shared" si="0"/>
        <v>102</v>
      </c>
      <c r="V66" s="2">
        <f t="shared" si="1"/>
        <v>1224</v>
      </c>
      <c r="W66" s="2">
        <f t="shared" si="2"/>
        <v>68</v>
      </c>
    </row>
    <row r="67" spans="1:23" ht="12.75">
      <c r="A67">
        <v>1</v>
      </c>
      <c r="B67">
        <v>63</v>
      </c>
      <c r="C67" s="2">
        <f t="shared" si="6"/>
        <v>100.61538461538461</v>
      </c>
      <c r="D67" s="2">
        <f t="shared" si="7"/>
        <v>1.3846153846153846</v>
      </c>
      <c r="E67" s="2">
        <f t="shared" si="8"/>
        <v>10.061538461538461</v>
      </c>
      <c r="F67" s="2">
        <f t="shared" si="9"/>
        <v>0.13846153846153847</v>
      </c>
      <c r="G67" s="9">
        <f>_XLL.RISKOUTPUT(,"Contaminated food products during a shift",64)+D67/(C67+D67)</f>
        <v>0.013574660633484163</v>
      </c>
      <c r="H67" s="2">
        <f>IF(C67&lt;1,0,_XLL.RISKBINOMIAL(ROUND(C67,0),I67))</f>
        <v>0</v>
      </c>
      <c r="I67" s="8">
        <f t="shared" si="10"/>
        <v>5.569062148913506E-05</v>
      </c>
      <c r="J67" s="2">
        <f t="shared" si="3"/>
        <v>1220.7418090519864</v>
      </c>
      <c r="K67" s="2">
        <f t="shared" si="4"/>
        <v>3.2581909480136027</v>
      </c>
      <c r="L67" s="10">
        <f>_XLL.RISKOUTPUT(,"Contaminated food contact surfaces during a shift",64)+K67/(J67+K67)</f>
        <v>0.00266192070916144</v>
      </c>
      <c r="M67" s="2">
        <f>IF(J67&lt;1,0,_XLL.RISKBINOMIAL(ROUND(J67,0),N67))</f>
        <v>0</v>
      </c>
      <c r="N67" s="11">
        <f t="shared" si="11"/>
        <v>1.3308466217609727E-05</v>
      </c>
      <c r="O67" s="2">
        <f t="shared" si="12"/>
        <v>68</v>
      </c>
      <c r="P67" s="2">
        <f t="shared" si="13"/>
        <v>0</v>
      </c>
      <c r="Q67" s="10">
        <f>_XLL.RISKOUTPUT(,"Contaminated gloves during a shift",64)+P67/(O67+P67)</f>
        <v>0</v>
      </c>
      <c r="R67" s="2">
        <f>IF(O67&lt;1,0,_XLL.RISKBINOMIAL(ROUND(O67,0),S67))</f>
        <v>0</v>
      </c>
      <c r="S67" s="11">
        <f t="shared" si="5"/>
        <v>0.0002337817386286467</v>
      </c>
      <c r="U67" s="2">
        <f t="shared" si="0"/>
        <v>102</v>
      </c>
      <c r="V67" s="2">
        <f t="shared" si="1"/>
        <v>1224</v>
      </c>
      <c r="W67" s="2">
        <f t="shared" si="2"/>
        <v>68</v>
      </c>
    </row>
    <row r="68" spans="1:23" ht="12.75">
      <c r="A68">
        <v>1</v>
      </c>
      <c r="B68">
        <v>64</v>
      </c>
      <c r="C68" s="2">
        <f t="shared" si="6"/>
        <v>100.61538461538461</v>
      </c>
      <c r="D68" s="2">
        <f t="shared" si="7"/>
        <v>1.3846153846153846</v>
      </c>
      <c r="E68" s="2">
        <f t="shared" si="8"/>
        <v>10.061538461538461</v>
      </c>
      <c r="F68" s="2">
        <f t="shared" si="9"/>
        <v>0.13846153846153847</v>
      </c>
      <c r="G68" s="9">
        <f>_XLL.RISKOUTPUT(,"Contaminated food products during a shift",65)+D68/(C68+D68)</f>
        <v>0.013574660633484163</v>
      </c>
      <c r="H68" s="2">
        <f>IF(C68&lt;1,0,_XLL.RISKBINOMIAL(ROUND(C68,0),I68))</f>
        <v>0</v>
      </c>
      <c r="I68" s="8">
        <f t="shared" si="10"/>
        <v>5.569062148913506E-05</v>
      </c>
      <c r="J68" s="2">
        <f t="shared" si="3"/>
        <v>1220.7418090519864</v>
      </c>
      <c r="K68" s="2">
        <f t="shared" si="4"/>
        <v>3.2581909480136027</v>
      </c>
      <c r="L68" s="10">
        <f>_XLL.RISKOUTPUT(,"Contaminated food contact surfaces during a shift",65)+K68/(J68+K68)</f>
        <v>0.00266192070916144</v>
      </c>
      <c r="M68" s="2">
        <f>IF(J68&lt;1,0,_XLL.RISKBINOMIAL(ROUND(J68,0),N68))</f>
        <v>0</v>
      </c>
      <c r="N68" s="11">
        <f t="shared" si="11"/>
        <v>1.3308466217609727E-05</v>
      </c>
      <c r="O68" s="2">
        <f t="shared" si="12"/>
        <v>68</v>
      </c>
      <c r="P68" s="2">
        <f t="shared" si="13"/>
        <v>0</v>
      </c>
      <c r="Q68" s="10">
        <f>_XLL.RISKOUTPUT(,"Contaminated gloves during a shift",65)+P68/(O68+P68)</f>
        <v>0</v>
      </c>
      <c r="R68" s="2">
        <f>IF(O68&lt;1,0,_XLL.RISKBINOMIAL(ROUND(O68,0),S68))</f>
        <v>0</v>
      </c>
      <c r="S68" s="11">
        <f t="shared" si="5"/>
        <v>0.0002337817386286467</v>
      </c>
      <c r="U68" s="2">
        <f aca="true" t="shared" si="14" ref="U68:U131">C68+D68</f>
        <v>102</v>
      </c>
      <c r="V68" s="2">
        <f aca="true" t="shared" si="15" ref="V68:V131">J68+K68</f>
        <v>1224</v>
      </c>
      <c r="W68" s="2">
        <f aca="true" t="shared" si="16" ref="W68:W131">O68+P68</f>
        <v>68</v>
      </c>
    </row>
    <row r="69" spans="1:23" ht="12.75">
      <c r="A69">
        <v>1</v>
      </c>
      <c r="B69">
        <v>65</v>
      </c>
      <c r="C69" s="2">
        <f t="shared" si="6"/>
        <v>100.61538461538461</v>
      </c>
      <c r="D69" s="2">
        <f t="shared" si="7"/>
        <v>1.3846153846153846</v>
      </c>
      <c r="E69" s="2">
        <f t="shared" si="8"/>
        <v>10.061538461538461</v>
      </c>
      <c r="F69" s="2">
        <f t="shared" si="9"/>
        <v>0.13846153846153847</v>
      </c>
      <c r="G69" s="9">
        <f>_XLL.RISKOUTPUT(,"Contaminated food products during a shift",66)+D69/(C69+D69)</f>
        <v>0.013574660633484163</v>
      </c>
      <c r="H69" s="2">
        <f>IF(C69&lt;1,0,_XLL.RISKBINOMIAL(ROUND(C69,0),I69))</f>
        <v>0</v>
      </c>
      <c r="I69" s="8">
        <f t="shared" si="10"/>
        <v>5.569062148913506E-05</v>
      </c>
      <c r="J69" s="2">
        <f aca="true" t="shared" si="17" ref="J69:J132">IF(J68-M68+K68*(1-A69)&lt;0,0,J68-M68+K68*(1-A69))</f>
        <v>1220.7418090519864</v>
      </c>
      <c r="K69" s="2">
        <f aca="true" t="shared" si="18" ref="K69:K132">IF(K68+M68-K68*(1-A69)&lt;0,0,K68+M68-K68*(1-A69))</f>
        <v>3.2581909480136027</v>
      </c>
      <c r="L69" s="10">
        <f>_XLL.RISKOUTPUT(,"Contaminated food contact surfaces during a shift",66)+K69/(J69+K69)</f>
        <v>0.00266192070916144</v>
      </c>
      <c r="M69" s="2">
        <f>IF(J69&lt;1,0,_XLL.RISKBINOMIAL(ROUND(J69,0),N69))</f>
        <v>0</v>
      </c>
      <c r="N69" s="11">
        <f t="shared" si="11"/>
        <v>1.3308466217609727E-05</v>
      </c>
      <c r="O69" s="2">
        <f t="shared" si="12"/>
        <v>68</v>
      </c>
      <c r="P69" s="2">
        <f t="shared" si="13"/>
        <v>0</v>
      </c>
      <c r="Q69" s="10">
        <f>_XLL.RISKOUTPUT(,"Contaminated gloves during a shift",66)+P69/(O69+P69)</f>
        <v>0</v>
      </c>
      <c r="R69" s="2">
        <f>IF(O69&lt;1,0,_XLL.RISKBINOMIAL(ROUND(O69,0),S69))</f>
        <v>0</v>
      </c>
      <c r="S69" s="11">
        <f aca="true" t="shared" si="19" ref="S69:S132">(1-((1-p_FP_G)^(D69)*(1-p_FCS_G)^(K69)*(1-p_G_E)^(pE*nE)))</f>
        <v>0.0002337817386286467</v>
      </c>
      <c r="U69" s="2">
        <f t="shared" si="14"/>
        <v>102</v>
      </c>
      <c r="V69" s="2">
        <f t="shared" si="15"/>
        <v>1224</v>
      </c>
      <c r="W69" s="2">
        <f t="shared" si="16"/>
        <v>68</v>
      </c>
    </row>
    <row r="70" spans="1:23" ht="12.75">
      <c r="A70">
        <v>1</v>
      </c>
      <c r="B70">
        <v>66</v>
      </c>
      <c r="C70" s="2">
        <f aca="true" t="shared" si="20" ref="C70:C133">IF(C69-H69-pr*C69+nFP*pr*(1-pFP)&lt;0,0,C69-H69-pr*C69+nFP*pr*(1-pFP))</f>
        <v>100.61538461538461</v>
      </c>
      <c r="D70" s="2">
        <f aca="true" t="shared" si="21" ref="D70:D133">IF(D69+H69+pr*nFP*pFP-D69*pr&lt;0,0,D69+H69+pr*nFP*pFP-D69*pr)</f>
        <v>1.3846153846153846</v>
      </c>
      <c r="E70" s="2">
        <f aca="true" t="shared" si="22" ref="E70:E133">C70*pr</f>
        <v>10.061538461538461</v>
      </c>
      <c r="F70" s="2">
        <f aca="true" t="shared" si="23" ref="F70:F133">D70*pr</f>
        <v>0.13846153846153847</v>
      </c>
      <c r="G70" s="9">
        <f>_XLL.RISKOUTPUT(,"Contaminated food products during a shift",67)+D70/(C70+D70)</f>
        <v>0.013574660633484163</v>
      </c>
      <c r="H70" s="2">
        <f>IF(C70&lt;1,0,_XLL.RISKBINOMIAL(ROUND(C70,0),I70))</f>
        <v>0</v>
      </c>
      <c r="I70" s="8">
        <f aca="true" t="shared" si="24" ref="I70:I133">(1-((1-p_FCS_FP)^(K70))*((1-p_G_FP)^(P70))*((1-p_FP_FP)^(D70)))</f>
        <v>5.569062148913506E-05</v>
      </c>
      <c r="J70" s="2">
        <f t="shared" si="17"/>
        <v>1220.7418090519864</v>
      </c>
      <c r="K70" s="2">
        <f t="shared" si="18"/>
        <v>3.2581909480136027</v>
      </c>
      <c r="L70" s="10">
        <f>_XLL.RISKOUTPUT(,"Contaminated food contact surfaces during a shift",67)+K70/(J70+K70)</f>
        <v>0.00266192070916144</v>
      </c>
      <c r="M70" s="2">
        <f>IF(J70&lt;1,0,_XLL.RISKBINOMIAL(ROUND(J70,0),N70))</f>
        <v>0</v>
      </c>
      <c r="N70" s="11">
        <f aca="true" t="shared" si="25" ref="N70:N133">(1-((1-p_FP_FCS)^(D70))*((1-p_G_FCS)^(P70)))</f>
        <v>1.3308466217609727E-05</v>
      </c>
      <c r="O70" s="2">
        <f aca="true" t="shared" si="26" ref="O70:O133">IF(O69-R69+nG*G_h-O69*G_h&lt;0,0,O69-R69+nG*G_h-O69*G_h)</f>
        <v>68</v>
      </c>
      <c r="P70" s="2">
        <f aca="true" t="shared" si="27" ref="P70:P133">IF(P69+R69-P69*G_h&lt;0,0,P69+R69-P69*G_h)</f>
        <v>0</v>
      </c>
      <c r="Q70" s="10">
        <f>_XLL.RISKOUTPUT(,"Contaminated gloves during a shift",67)+P70/(O70+P70)</f>
        <v>0</v>
      </c>
      <c r="R70" s="2">
        <f>IF(O70&lt;1,0,_XLL.RISKBINOMIAL(ROUND(O70,0),S70))</f>
        <v>0</v>
      </c>
      <c r="S70" s="11">
        <f t="shared" si="19"/>
        <v>0.0002337817386286467</v>
      </c>
      <c r="U70" s="2">
        <f t="shared" si="14"/>
        <v>102</v>
      </c>
      <c r="V70" s="2">
        <f t="shared" si="15"/>
        <v>1224</v>
      </c>
      <c r="W70" s="2">
        <f t="shared" si="16"/>
        <v>68</v>
      </c>
    </row>
    <row r="71" spans="1:23" ht="12.75">
      <c r="A71">
        <v>1</v>
      </c>
      <c r="B71">
        <v>67</v>
      </c>
      <c r="C71" s="2">
        <f t="shared" si="20"/>
        <v>100.61538461538461</v>
      </c>
      <c r="D71" s="2">
        <f t="shared" si="21"/>
        <v>1.3846153846153846</v>
      </c>
      <c r="E71" s="2">
        <f t="shared" si="22"/>
        <v>10.061538461538461</v>
      </c>
      <c r="F71" s="2">
        <f t="shared" si="23"/>
        <v>0.13846153846153847</v>
      </c>
      <c r="G71" s="9">
        <f>_XLL.RISKOUTPUT(,"Contaminated food products during a shift",68)+D71/(C71+D71)</f>
        <v>0.013574660633484163</v>
      </c>
      <c r="H71" s="2">
        <f>IF(C71&lt;1,0,_XLL.RISKBINOMIAL(ROUND(C71,0),I71))</f>
        <v>0</v>
      </c>
      <c r="I71" s="8">
        <f t="shared" si="24"/>
        <v>5.569062148913506E-05</v>
      </c>
      <c r="J71" s="2">
        <f t="shared" si="17"/>
        <v>1220.7418090519864</v>
      </c>
      <c r="K71" s="2">
        <f t="shared" si="18"/>
        <v>3.2581909480136027</v>
      </c>
      <c r="L71" s="10">
        <f>_XLL.RISKOUTPUT(,"Contaminated food contact surfaces during a shift",68)+K71/(J71+K71)</f>
        <v>0.00266192070916144</v>
      </c>
      <c r="M71" s="2">
        <f>IF(J71&lt;1,0,_XLL.RISKBINOMIAL(ROUND(J71,0),N71))</f>
        <v>0</v>
      </c>
      <c r="N71" s="11">
        <f t="shared" si="25"/>
        <v>1.3308466217609727E-05</v>
      </c>
      <c r="O71" s="2">
        <f t="shared" si="26"/>
        <v>68</v>
      </c>
      <c r="P71" s="2">
        <f t="shared" si="27"/>
        <v>0</v>
      </c>
      <c r="Q71" s="10">
        <f>_XLL.RISKOUTPUT(,"Contaminated gloves during a shift",68)+P71/(O71+P71)</f>
        <v>0</v>
      </c>
      <c r="R71" s="2">
        <f>IF(O71&lt;1,0,_XLL.RISKBINOMIAL(ROUND(O71,0),S71))</f>
        <v>0</v>
      </c>
      <c r="S71" s="11">
        <f t="shared" si="19"/>
        <v>0.0002337817386286467</v>
      </c>
      <c r="U71" s="2">
        <f t="shared" si="14"/>
        <v>102</v>
      </c>
      <c r="V71" s="2">
        <f t="shared" si="15"/>
        <v>1224</v>
      </c>
      <c r="W71" s="2">
        <f t="shared" si="16"/>
        <v>68</v>
      </c>
    </row>
    <row r="72" spans="1:23" ht="12.75">
      <c r="A72">
        <v>1</v>
      </c>
      <c r="B72">
        <v>68</v>
      </c>
      <c r="C72" s="2">
        <f t="shared" si="20"/>
        <v>100.61538461538461</v>
      </c>
      <c r="D72" s="2">
        <f t="shared" si="21"/>
        <v>1.3846153846153846</v>
      </c>
      <c r="E72" s="2">
        <f t="shared" si="22"/>
        <v>10.061538461538461</v>
      </c>
      <c r="F72" s="2">
        <f t="shared" si="23"/>
        <v>0.13846153846153847</v>
      </c>
      <c r="G72" s="9">
        <f>_XLL.RISKOUTPUT(,"Contaminated food products during a shift",69)+D72/(C72+D72)</f>
        <v>0.013574660633484163</v>
      </c>
      <c r="H72" s="2">
        <f>IF(C72&lt;1,0,_XLL.RISKBINOMIAL(ROUND(C72,0),I72))</f>
        <v>0</v>
      </c>
      <c r="I72" s="8">
        <f t="shared" si="24"/>
        <v>5.569062148913506E-05</v>
      </c>
      <c r="J72" s="2">
        <f t="shared" si="17"/>
        <v>1220.7418090519864</v>
      </c>
      <c r="K72" s="2">
        <f t="shared" si="18"/>
        <v>3.2581909480136027</v>
      </c>
      <c r="L72" s="10">
        <f>_XLL.RISKOUTPUT(,"Contaminated food contact surfaces during a shift",69)+K72/(J72+K72)</f>
        <v>0.00266192070916144</v>
      </c>
      <c r="M72" s="2">
        <f>IF(J72&lt;1,0,_XLL.RISKBINOMIAL(ROUND(J72,0),N72))</f>
        <v>0</v>
      </c>
      <c r="N72" s="11">
        <f t="shared" si="25"/>
        <v>1.3308466217609727E-05</v>
      </c>
      <c r="O72" s="2">
        <f t="shared" si="26"/>
        <v>68</v>
      </c>
      <c r="P72" s="2">
        <f t="shared" si="27"/>
        <v>0</v>
      </c>
      <c r="Q72" s="10">
        <f>_XLL.RISKOUTPUT(,"Contaminated gloves during a shift",69)+P72/(O72+P72)</f>
        <v>0</v>
      </c>
      <c r="R72" s="2">
        <f>IF(O72&lt;1,0,_XLL.RISKBINOMIAL(ROUND(O72,0),S72))</f>
        <v>0</v>
      </c>
      <c r="S72" s="11">
        <f t="shared" si="19"/>
        <v>0.0002337817386286467</v>
      </c>
      <c r="U72" s="2">
        <f t="shared" si="14"/>
        <v>102</v>
      </c>
      <c r="V72" s="2">
        <f t="shared" si="15"/>
        <v>1224</v>
      </c>
      <c r="W72" s="2">
        <f t="shared" si="16"/>
        <v>68</v>
      </c>
    </row>
    <row r="73" spans="1:23" ht="12.75">
      <c r="A73">
        <v>1</v>
      </c>
      <c r="B73">
        <v>69</v>
      </c>
      <c r="C73" s="2">
        <f t="shared" si="20"/>
        <v>100.61538461538461</v>
      </c>
      <c r="D73" s="2">
        <f t="shared" si="21"/>
        <v>1.3846153846153846</v>
      </c>
      <c r="E73" s="2">
        <f t="shared" si="22"/>
        <v>10.061538461538461</v>
      </c>
      <c r="F73" s="2">
        <f t="shared" si="23"/>
        <v>0.13846153846153847</v>
      </c>
      <c r="G73" s="9">
        <f>_XLL.RISKOUTPUT(,"Contaminated food products during a shift",70)+D73/(C73+D73)</f>
        <v>0.013574660633484163</v>
      </c>
      <c r="H73" s="2">
        <f>IF(C73&lt;1,0,_XLL.RISKBINOMIAL(ROUND(C73,0),I73))</f>
        <v>0</v>
      </c>
      <c r="I73" s="8">
        <f t="shared" si="24"/>
        <v>5.569062148913506E-05</v>
      </c>
      <c r="J73" s="2">
        <f t="shared" si="17"/>
        <v>1220.7418090519864</v>
      </c>
      <c r="K73" s="2">
        <f t="shared" si="18"/>
        <v>3.2581909480136027</v>
      </c>
      <c r="L73" s="10">
        <f>_XLL.RISKOUTPUT(,"Contaminated food contact surfaces during a shift",70)+K73/(J73+K73)</f>
        <v>0.00266192070916144</v>
      </c>
      <c r="M73" s="2">
        <f>IF(J73&lt;1,0,_XLL.RISKBINOMIAL(ROUND(J73,0),N73))</f>
        <v>0</v>
      </c>
      <c r="N73" s="11">
        <f t="shared" si="25"/>
        <v>1.3308466217609727E-05</v>
      </c>
      <c r="O73" s="2">
        <f t="shared" si="26"/>
        <v>68</v>
      </c>
      <c r="P73" s="2">
        <f t="shared" si="27"/>
        <v>0</v>
      </c>
      <c r="Q73" s="10">
        <f>_XLL.RISKOUTPUT(,"Contaminated gloves during a shift",70)+P73/(O73+P73)</f>
        <v>0</v>
      </c>
      <c r="R73" s="2">
        <f>IF(O73&lt;1,0,_XLL.RISKBINOMIAL(ROUND(O73,0),S73))</f>
        <v>0</v>
      </c>
      <c r="S73" s="11">
        <f t="shared" si="19"/>
        <v>0.0002337817386286467</v>
      </c>
      <c r="U73" s="2">
        <f t="shared" si="14"/>
        <v>102</v>
      </c>
      <c r="V73" s="2">
        <f t="shared" si="15"/>
        <v>1224</v>
      </c>
      <c r="W73" s="2">
        <f t="shared" si="16"/>
        <v>68</v>
      </c>
    </row>
    <row r="74" spans="1:23" ht="12.75">
      <c r="A74">
        <v>1</v>
      </c>
      <c r="B74">
        <v>70</v>
      </c>
      <c r="C74" s="2">
        <f t="shared" si="20"/>
        <v>100.61538461538461</v>
      </c>
      <c r="D74" s="2">
        <f t="shared" si="21"/>
        <v>1.3846153846153846</v>
      </c>
      <c r="E74" s="2">
        <f t="shared" si="22"/>
        <v>10.061538461538461</v>
      </c>
      <c r="F74" s="2">
        <f t="shared" si="23"/>
        <v>0.13846153846153847</v>
      </c>
      <c r="G74" s="9">
        <f>_XLL.RISKOUTPUT(,"Contaminated food products during a shift",71)+D74/(C74+D74)</f>
        <v>0.013574660633484163</v>
      </c>
      <c r="H74" s="2">
        <f>IF(C74&lt;1,0,_XLL.RISKBINOMIAL(ROUND(C74,0),I74))</f>
        <v>0</v>
      </c>
      <c r="I74" s="8">
        <f t="shared" si="24"/>
        <v>5.569062148913506E-05</v>
      </c>
      <c r="J74" s="2">
        <f t="shared" si="17"/>
        <v>1220.7418090519864</v>
      </c>
      <c r="K74" s="2">
        <f t="shared" si="18"/>
        <v>3.2581909480136027</v>
      </c>
      <c r="L74" s="10">
        <f>_XLL.RISKOUTPUT(,"Contaminated food contact surfaces during a shift",71)+K74/(J74+K74)</f>
        <v>0.00266192070916144</v>
      </c>
      <c r="M74" s="2">
        <f>IF(J74&lt;1,0,_XLL.RISKBINOMIAL(ROUND(J74,0),N74))</f>
        <v>0</v>
      </c>
      <c r="N74" s="11">
        <f t="shared" si="25"/>
        <v>1.3308466217609727E-05</v>
      </c>
      <c r="O74" s="2">
        <f t="shared" si="26"/>
        <v>68</v>
      </c>
      <c r="P74" s="2">
        <f t="shared" si="27"/>
        <v>0</v>
      </c>
      <c r="Q74" s="10">
        <f>_XLL.RISKOUTPUT(,"Contaminated gloves during a shift",71)+P74/(O74+P74)</f>
        <v>0</v>
      </c>
      <c r="R74" s="2">
        <f>IF(O74&lt;1,0,_XLL.RISKBINOMIAL(ROUND(O74,0),S74))</f>
        <v>0</v>
      </c>
      <c r="S74" s="11">
        <f t="shared" si="19"/>
        <v>0.0002337817386286467</v>
      </c>
      <c r="U74" s="2">
        <f t="shared" si="14"/>
        <v>102</v>
      </c>
      <c r="V74" s="2">
        <f t="shared" si="15"/>
        <v>1224</v>
      </c>
      <c r="W74" s="2">
        <f t="shared" si="16"/>
        <v>68</v>
      </c>
    </row>
    <row r="75" spans="1:23" ht="12.75">
      <c r="A75">
        <v>1</v>
      </c>
      <c r="B75">
        <v>71</v>
      </c>
      <c r="C75" s="2">
        <f t="shared" si="20"/>
        <v>100.61538461538461</v>
      </c>
      <c r="D75" s="2">
        <f t="shared" si="21"/>
        <v>1.3846153846153846</v>
      </c>
      <c r="E75" s="2">
        <f t="shared" si="22"/>
        <v>10.061538461538461</v>
      </c>
      <c r="F75" s="2">
        <f t="shared" si="23"/>
        <v>0.13846153846153847</v>
      </c>
      <c r="G75" s="9">
        <f>_XLL.RISKOUTPUT(,"Contaminated food products during a shift",72)+D75/(C75+D75)</f>
        <v>0.013574660633484163</v>
      </c>
      <c r="H75" s="2">
        <f>IF(C75&lt;1,0,_XLL.RISKBINOMIAL(ROUND(C75,0),I75))</f>
        <v>0</v>
      </c>
      <c r="I75" s="8">
        <f t="shared" si="24"/>
        <v>5.569062148913506E-05</v>
      </c>
      <c r="J75" s="2">
        <f t="shared" si="17"/>
        <v>1220.7418090519864</v>
      </c>
      <c r="K75" s="2">
        <f t="shared" si="18"/>
        <v>3.2581909480136027</v>
      </c>
      <c r="L75" s="10">
        <f>_XLL.RISKOUTPUT(,"Contaminated food contact surfaces during a shift",72)+K75/(J75+K75)</f>
        <v>0.00266192070916144</v>
      </c>
      <c r="M75" s="2">
        <f>IF(J75&lt;1,0,_XLL.RISKBINOMIAL(ROUND(J75,0),N75))</f>
        <v>0</v>
      </c>
      <c r="N75" s="11">
        <f t="shared" si="25"/>
        <v>1.3308466217609727E-05</v>
      </c>
      <c r="O75" s="2">
        <f t="shared" si="26"/>
        <v>68</v>
      </c>
      <c r="P75" s="2">
        <f t="shared" si="27"/>
        <v>0</v>
      </c>
      <c r="Q75" s="10">
        <f>_XLL.RISKOUTPUT(,"Contaminated gloves during a shift",72)+P75/(O75+P75)</f>
        <v>0</v>
      </c>
      <c r="R75" s="2">
        <f>IF(O75&lt;1,0,_XLL.RISKBINOMIAL(ROUND(O75,0),S75))</f>
        <v>0</v>
      </c>
      <c r="S75" s="11">
        <f t="shared" si="19"/>
        <v>0.0002337817386286467</v>
      </c>
      <c r="U75" s="2">
        <f t="shared" si="14"/>
        <v>102</v>
      </c>
      <c r="V75" s="2">
        <f t="shared" si="15"/>
        <v>1224</v>
      </c>
      <c r="W75" s="2">
        <f t="shared" si="16"/>
        <v>68</v>
      </c>
    </row>
    <row r="76" spans="1:23" ht="12.75">
      <c r="A76">
        <v>1</v>
      </c>
      <c r="B76">
        <v>72</v>
      </c>
      <c r="C76" s="2">
        <f t="shared" si="20"/>
        <v>100.61538461538461</v>
      </c>
      <c r="D76" s="2">
        <f t="shared" si="21"/>
        <v>1.3846153846153846</v>
      </c>
      <c r="E76" s="2">
        <f t="shared" si="22"/>
        <v>10.061538461538461</v>
      </c>
      <c r="F76" s="2">
        <f t="shared" si="23"/>
        <v>0.13846153846153847</v>
      </c>
      <c r="G76" s="9">
        <f>_XLL.RISKOUTPUT(,"Contaminated food products during a shift",73)+D76/(C76+D76)</f>
        <v>0.013574660633484163</v>
      </c>
      <c r="H76" s="2">
        <f>IF(C76&lt;1,0,_XLL.RISKBINOMIAL(ROUND(C76,0),I76))</f>
        <v>0</v>
      </c>
      <c r="I76" s="8">
        <f t="shared" si="24"/>
        <v>5.569062148913506E-05</v>
      </c>
      <c r="J76" s="2">
        <f t="shared" si="17"/>
        <v>1220.7418090519864</v>
      </c>
      <c r="K76" s="2">
        <f t="shared" si="18"/>
        <v>3.2581909480136027</v>
      </c>
      <c r="L76" s="10">
        <f>_XLL.RISKOUTPUT(,"Contaminated food contact surfaces during a shift",73)+K76/(J76+K76)</f>
        <v>0.00266192070916144</v>
      </c>
      <c r="M76" s="2">
        <f>IF(J76&lt;1,0,_XLL.RISKBINOMIAL(ROUND(J76,0),N76))</f>
        <v>0</v>
      </c>
      <c r="N76" s="11">
        <f t="shared" si="25"/>
        <v>1.3308466217609727E-05</v>
      </c>
      <c r="O76" s="2">
        <f t="shared" si="26"/>
        <v>68</v>
      </c>
      <c r="P76" s="2">
        <f t="shared" si="27"/>
        <v>0</v>
      </c>
      <c r="Q76" s="10">
        <f>_XLL.RISKOUTPUT(,"Contaminated gloves during a shift",73)+P76/(O76+P76)</f>
        <v>0</v>
      </c>
      <c r="R76" s="2">
        <f>IF(O76&lt;1,0,_XLL.RISKBINOMIAL(ROUND(O76,0),S76))</f>
        <v>0</v>
      </c>
      <c r="S76" s="11">
        <f t="shared" si="19"/>
        <v>0.0002337817386286467</v>
      </c>
      <c r="U76" s="2">
        <f t="shared" si="14"/>
        <v>102</v>
      </c>
      <c r="V76" s="2">
        <f t="shared" si="15"/>
        <v>1224</v>
      </c>
      <c r="W76" s="2">
        <f t="shared" si="16"/>
        <v>68</v>
      </c>
    </row>
    <row r="77" spans="1:23" ht="12.75">
      <c r="A77">
        <v>1</v>
      </c>
      <c r="B77">
        <v>73</v>
      </c>
      <c r="C77" s="2">
        <f t="shared" si="20"/>
        <v>100.61538461538461</v>
      </c>
      <c r="D77" s="2">
        <f t="shared" si="21"/>
        <v>1.3846153846153846</v>
      </c>
      <c r="E77" s="2">
        <f t="shared" si="22"/>
        <v>10.061538461538461</v>
      </c>
      <c r="F77" s="2">
        <f t="shared" si="23"/>
        <v>0.13846153846153847</v>
      </c>
      <c r="G77" s="9">
        <f>_XLL.RISKOUTPUT(,"Contaminated food products during a shift",74)+D77/(C77+D77)</f>
        <v>0.013574660633484163</v>
      </c>
      <c r="H77" s="2">
        <f>IF(C77&lt;1,0,_XLL.RISKBINOMIAL(ROUND(C77,0),I77))</f>
        <v>0</v>
      </c>
      <c r="I77" s="8">
        <f t="shared" si="24"/>
        <v>5.569062148913506E-05</v>
      </c>
      <c r="J77" s="2">
        <f t="shared" si="17"/>
        <v>1220.7418090519864</v>
      </c>
      <c r="K77" s="2">
        <f t="shared" si="18"/>
        <v>3.2581909480136027</v>
      </c>
      <c r="L77" s="10">
        <f>_XLL.RISKOUTPUT(,"Contaminated food contact surfaces during a shift",74)+K77/(J77+K77)</f>
        <v>0.00266192070916144</v>
      </c>
      <c r="M77" s="2">
        <f>IF(J77&lt;1,0,_XLL.RISKBINOMIAL(ROUND(J77,0),N77))</f>
        <v>0</v>
      </c>
      <c r="N77" s="11">
        <f t="shared" si="25"/>
        <v>1.3308466217609727E-05</v>
      </c>
      <c r="O77" s="2">
        <f t="shared" si="26"/>
        <v>68</v>
      </c>
      <c r="P77" s="2">
        <f t="shared" si="27"/>
        <v>0</v>
      </c>
      <c r="Q77" s="10">
        <f>_XLL.RISKOUTPUT(,"Contaminated gloves during a shift",74)+P77/(O77+P77)</f>
        <v>0</v>
      </c>
      <c r="R77" s="2">
        <f>IF(O77&lt;1,0,_XLL.RISKBINOMIAL(ROUND(O77,0),S77))</f>
        <v>0</v>
      </c>
      <c r="S77" s="11">
        <f t="shared" si="19"/>
        <v>0.0002337817386286467</v>
      </c>
      <c r="U77" s="2">
        <f t="shared" si="14"/>
        <v>102</v>
      </c>
      <c r="V77" s="2">
        <f t="shared" si="15"/>
        <v>1224</v>
      </c>
      <c r="W77" s="2">
        <f t="shared" si="16"/>
        <v>68</v>
      </c>
    </row>
    <row r="78" spans="1:23" ht="12.75">
      <c r="A78">
        <v>1</v>
      </c>
      <c r="B78">
        <v>74</v>
      </c>
      <c r="C78" s="2">
        <f t="shared" si="20"/>
        <v>100.61538461538461</v>
      </c>
      <c r="D78" s="2">
        <f t="shared" si="21"/>
        <v>1.3846153846153846</v>
      </c>
      <c r="E78" s="2">
        <f t="shared" si="22"/>
        <v>10.061538461538461</v>
      </c>
      <c r="F78" s="2">
        <f t="shared" si="23"/>
        <v>0.13846153846153847</v>
      </c>
      <c r="G78" s="9">
        <f>_XLL.RISKOUTPUT(,"Contaminated food products during a shift",75)+D78/(C78+D78)</f>
        <v>0.013574660633484163</v>
      </c>
      <c r="H78" s="2">
        <f>IF(C78&lt;1,0,_XLL.RISKBINOMIAL(ROUND(C78,0),I78))</f>
        <v>0</v>
      </c>
      <c r="I78" s="8">
        <f t="shared" si="24"/>
        <v>5.569062148913506E-05</v>
      </c>
      <c r="J78" s="2">
        <f t="shared" si="17"/>
        <v>1220.7418090519864</v>
      </c>
      <c r="K78" s="2">
        <f t="shared" si="18"/>
        <v>3.2581909480136027</v>
      </c>
      <c r="L78" s="10">
        <f>_XLL.RISKOUTPUT(,"Contaminated food contact surfaces during a shift",75)+K78/(J78+K78)</f>
        <v>0.00266192070916144</v>
      </c>
      <c r="M78" s="2">
        <f>IF(J78&lt;1,0,_XLL.RISKBINOMIAL(ROUND(J78,0),N78))</f>
        <v>0</v>
      </c>
      <c r="N78" s="11">
        <f t="shared" si="25"/>
        <v>1.3308466217609727E-05</v>
      </c>
      <c r="O78" s="2">
        <f t="shared" si="26"/>
        <v>68</v>
      </c>
      <c r="P78" s="2">
        <f t="shared" si="27"/>
        <v>0</v>
      </c>
      <c r="Q78" s="10">
        <f>_XLL.RISKOUTPUT(,"Contaminated gloves during a shift",75)+P78/(O78+P78)</f>
        <v>0</v>
      </c>
      <c r="R78" s="2">
        <f>IF(O78&lt;1,0,_XLL.RISKBINOMIAL(ROUND(O78,0),S78))</f>
        <v>0</v>
      </c>
      <c r="S78" s="11">
        <f t="shared" si="19"/>
        <v>0.0002337817386286467</v>
      </c>
      <c r="U78" s="2">
        <f t="shared" si="14"/>
        <v>102</v>
      </c>
      <c r="V78" s="2">
        <f t="shared" si="15"/>
        <v>1224</v>
      </c>
      <c r="W78" s="2">
        <f t="shared" si="16"/>
        <v>68</v>
      </c>
    </row>
    <row r="79" spans="1:23" ht="12.75">
      <c r="A79">
        <v>1</v>
      </c>
      <c r="B79">
        <v>75</v>
      </c>
      <c r="C79" s="2">
        <f t="shared" si="20"/>
        <v>100.61538461538461</v>
      </c>
      <c r="D79" s="2">
        <f t="shared" si="21"/>
        <v>1.3846153846153846</v>
      </c>
      <c r="E79" s="2">
        <f t="shared" si="22"/>
        <v>10.061538461538461</v>
      </c>
      <c r="F79" s="2">
        <f t="shared" si="23"/>
        <v>0.13846153846153847</v>
      </c>
      <c r="G79" s="9">
        <f>_XLL.RISKOUTPUT(,"Contaminated food products during a shift",76)+D79/(C79+D79)</f>
        <v>0.013574660633484163</v>
      </c>
      <c r="H79" s="2">
        <f>IF(C79&lt;1,0,_XLL.RISKBINOMIAL(ROUND(C79,0),I79))</f>
        <v>0</v>
      </c>
      <c r="I79" s="8">
        <f t="shared" si="24"/>
        <v>5.569062148913506E-05</v>
      </c>
      <c r="J79" s="2">
        <f t="shared" si="17"/>
        <v>1220.7418090519864</v>
      </c>
      <c r="K79" s="2">
        <f t="shared" si="18"/>
        <v>3.2581909480136027</v>
      </c>
      <c r="L79" s="10">
        <f>_XLL.RISKOUTPUT(,"Contaminated food contact surfaces during a shift",76)+K79/(J79+K79)</f>
        <v>0.00266192070916144</v>
      </c>
      <c r="M79" s="2">
        <f>IF(J79&lt;1,0,_XLL.RISKBINOMIAL(ROUND(J79,0),N79))</f>
        <v>0</v>
      </c>
      <c r="N79" s="11">
        <f t="shared" si="25"/>
        <v>1.3308466217609727E-05</v>
      </c>
      <c r="O79" s="2">
        <f t="shared" si="26"/>
        <v>68</v>
      </c>
      <c r="P79" s="2">
        <f t="shared" si="27"/>
        <v>0</v>
      </c>
      <c r="Q79" s="10">
        <f>_XLL.RISKOUTPUT(,"Contaminated gloves during a shift",76)+P79/(O79+P79)</f>
        <v>0</v>
      </c>
      <c r="R79" s="2">
        <f>IF(O79&lt;1,0,_XLL.RISKBINOMIAL(ROUND(O79,0),S79))</f>
        <v>0</v>
      </c>
      <c r="S79" s="11">
        <f t="shared" si="19"/>
        <v>0.0002337817386286467</v>
      </c>
      <c r="U79" s="2">
        <f t="shared" si="14"/>
        <v>102</v>
      </c>
      <c r="V79" s="2">
        <f t="shared" si="15"/>
        <v>1224</v>
      </c>
      <c r="W79" s="2">
        <f t="shared" si="16"/>
        <v>68</v>
      </c>
    </row>
    <row r="80" spans="1:23" ht="12.75">
      <c r="A80">
        <v>1</v>
      </c>
      <c r="B80">
        <v>76</v>
      </c>
      <c r="C80" s="2">
        <f t="shared" si="20"/>
        <v>100.61538461538461</v>
      </c>
      <c r="D80" s="2">
        <f t="shared" si="21"/>
        <v>1.3846153846153846</v>
      </c>
      <c r="E80" s="2">
        <f t="shared" si="22"/>
        <v>10.061538461538461</v>
      </c>
      <c r="F80" s="2">
        <f t="shared" si="23"/>
        <v>0.13846153846153847</v>
      </c>
      <c r="G80" s="9">
        <f>_XLL.RISKOUTPUT(,"Contaminated food products during a shift",77)+D80/(C80+D80)</f>
        <v>0.013574660633484163</v>
      </c>
      <c r="H80" s="2">
        <f>IF(C80&lt;1,0,_XLL.RISKBINOMIAL(ROUND(C80,0),I80))</f>
        <v>0</v>
      </c>
      <c r="I80" s="8">
        <f t="shared" si="24"/>
        <v>5.569062148913506E-05</v>
      </c>
      <c r="J80" s="2">
        <f t="shared" si="17"/>
        <v>1220.7418090519864</v>
      </c>
      <c r="K80" s="2">
        <f t="shared" si="18"/>
        <v>3.2581909480136027</v>
      </c>
      <c r="L80" s="10">
        <f>_XLL.RISKOUTPUT(,"Contaminated food contact surfaces during a shift",77)+K80/(J80+K80)</f>
        <v>0.00266192070916144</v>
      </c>
      <c r="M80" s="2">
        <f>IF(J80&lt;1,0,_XLL.RISKBINOMIAL(ROUND(J80,0),N80))</f>
        <v>0</v>
      </c>
      <c r="N80" s="11">
        <f t="shared" si="25"/>
        <v>1.3308466217609727E-05</v>
      </c>
      <c r="O80" s="2">
        <f t="shared" si="26"/>
        <v>68</v>
      </c>
      <c r="P80" s="2">
        <f t="shared" si="27"/>
        <v>0</v>
      </c>
      <c r="Q80" s="10">
        <f>_XLL.RISKOUTPUT(,"Contaminated gloves during a shift",77)+P80/(O80+P80)</f>
        <v>0</v>
      </c>
      <c r="R80" s="2">
        <f>IF(O80&lt;1,0,_XLL.RISKBINOMIAL(ROUND(O80,0),S80))</f>
        <v>0</v>
      </c>
      <c r="S80" s="11">
        <f t="shared" si="19"/>
        <v>0.0002337817386286467</v>
      </c>
      <c r="U80" s="2">
        <f t="shared" si="14"/>
        <v>102</v>
      </c>
      <c r="V80" s="2">
        <f t="shared" si="15"/>
        <v>1224</v>
      </c>
      <c r="W80" s="2">
        <f t="shared" si="16"/>
        <v>68</v>
      </c>
    </row>
    <row r="81" spans="1:23" ht="12.75">
      <c r="A81">
        <v>1</v>
      </c>
      <c r="B81">
        <v>77</v>
      </c>
      <c r="C81" s="2">
        <f t="shared" si="20"/>
        <v>100.61538461538461</v>
      </c>
      <c r="D81" s="2">
        <f t="shared" si="21"/>
        <v>1.3846153846153846</v>
      </c>
      <c r="E81" s="2">
        <f t="shared" si="22"/>
        <v>10.061538461538461</v>
      </c>
      <c r="F81" s="2">
        <f t="shared" si="23"/>
        <v>0.13846153846153847</v>
      </c>
      <c r="G81" s="9">
        <f>_XLL.RISKOUTPUT(,"Contaminated food products during a shift",78)+D81/(C81+D81)</f>
        <v>0.013574660633484163</v>
      </c>
      <c r="H81" s="2">
        <f>IF(C81&lt;1,0,_XLL.RISKBINOMIAL(ROUND(C81,0),I81))</f>
        <v>0</v>
      </c>
      <c r="I81" s="8">
        <f t="shared" si="24"/>
        <v>5.569062148913506E-05</v>
      </c>
      <c r="J81" s="2">
        <f t="shared" si="17"/>
        <v>1220.7418090519864</v>
      </c>
      <c r="K81" s="2">
        <f t="shared" si="18"/>
        <v>3.2581909480136027</v>
      </c>
      <c r="L81" s="10">
        <f>_XLL.RISKOUTPUT(,"Contaminated food contact surfaces during a shift",78)+K81/(J81+K81)</f>
        <v>0.00266192070916144</v>
      </c>
      <c r="M81" s="2">
        <f>IF(J81&lt;1,0,_XLL.RISKBINOMIAL(ROUND(J81,0),N81))</f>
        <v>0</v>
      </c>
      <c r="N81" s="11">
        <f t="shared" si="25"/>
        <v>1.3308466217609727E-05</v>
      </c>
      <c r="O81" s="2">
        <f t="shared" si="26"/>
        <v>68</v>
      </c>
      <c r="P81" s="2">
        <f t="shared" si="27"/>
        <v>0</v>
      </c>
      <c r="Q81" s="10">
        <f>_XLL.RISKOUTPUT(,"Contaminated gloves during a shift",78)+P81/(O81+P81)</f>
        <v>0</v>
      </c>
      <c r="R81" s="2">
        <f>IF(O81&lt;1,0,_XLL.RISKBINOMIAL(ROUND(O81,0),S81))</f>
        <v>0</v>
      </c>
      <c r="S81" s="11">
        <f t="shared" si="19"/>
        <v>0.0002337817386286467</v>
      </c>
      <c r="U81" s="2">
        <f t="shared" si="14"/>
        <v>102</v>
      </c>
      <c r="V81" s="2">
        <f t="shared" si="15"/>
        <v>1224</v>
      </c>
      <c r="W81" s="2">
        <f t="shared" si="16"/>
        <v>68</v>
      </c>
    </row>
    <row r="82" spans="1:23" ht="12.75">
      <c r="A82">
        <v>1</v>
      </c>
      <c r="B82">
        <v>78</v>
      </c>
      <c r="C82" s="2">
        <f t="shared" si="20"/>
        <v>100.61538461538461</v>
      </c>
      <c r="D82" s="2">
        <f t="shared" si="21"/>
        <v>1.3846153846153846</v>
      </c>
      <c r="E82" s="2">
        <f t="shared" si="22"/>
        <v>10.061538461538461</v>
      </c>
      <c r="F82" s="2">
        <f t="shared" si="23"/>
        <v>0.13846153846153847</v>
      </c>
      <c r="G82" s="9">
        <f>_XLL.RISKOUTPUT(,"Contaminated food products during a shift",79)+D82/(C82+D82)</f>
        <v>0.013574660633484163</v>
      </c>
      <c r="H82" s="2">
        <f>IF(C82&lt;1,0,_XLL.RISKBINOMIAL(ROUND(C82,0),I82))</f>
        <v>0</v>
      </c>
      <c r="I82" s="8">
        <f t="shared" si="24"/>
        <v>5.569062148913506E-05</v>
      </c>
      <c r="J82" s="2">
        <f t="shared" si="17"/>
        <v>1220.7418090519864</v>
      </c>
      <c r="K82" s="2">
        <f t="shared" si="18"/>
        <v>3.2581909480136027</v>
      </c>
      <c r="L82" s="10">
        <f>_XLL.RISKOUTPUT(,"Contaminated food contact surfaces during a shift",79)+K82/(J82+K82)</f>
        <v>0.00266192070916144</v>
      </c>
      <c r="M82" s="2">
        <f>IF(J82&lt;1,0,_XLL.RISKBINOMIAL(ROUND(J82,0),N82))</f>
        <v>0</v>
      </c>
      <c r="N82" s="11">
        <f t="shared" si="25"/>
        <v>1.3308466217609727E-05</v>
      </c>
      <c r="O82" s="2">
        <f t="shared" si="26"/>
        <v>68</v>
      </c>
      <c r="P82" s="2">
        <f t="shared" si="27"/>
        <v>0</v>
      </c>
      <c r="Q82" s="10">
        <f>_XLL.RISKOUTPUT(,"Contaminated gloves during a shift",79)+P82/(O82+P82)</f>
        <v>0</v>
      </c>
      <c r="R82" s="2">
        <f>IF(O82&lt;1,0,_XLL.RISKBINOMIAL(ROUND(O82,0),S82))</f>
        <v>0</v>
      </c>
      <c r="S82" s="11">
        <f t="shared" si="19"/>
        <v>0.0002337817386286467</v>
      </c>
      <c r="U82" s="2">
        <f t="shared" si="14"/>
        <v>102</v>
      </c>
      <c r="V82" s="2">
        <f t="shared" si="15"/>
        <v>1224</v>
      </c>
      <c r="W82" s="2">
        <f t="shared" si="16"/>
        <v>68</v>
      </c>
    </row>
    <row r="83" spans="1:23" ht="12.75">
      <c r="A83">
        <v>1</v>
      </c>
      <c r="B83">
        <v>79</v>
      </c>
      <c r="C83" s="2">
        <f t="shared" si="20"/>
        <v>100.61538461538461</v>
      </c>
      <c r="D83" s="2">
        <f t="shared" si="21"/>
        <v>1.3846153846153846</v>
      </c>
      <c r="E83" s="2">
        <f t="shared" si="22"/>
        <v>10.061538461538461</v>
      </c>
      <c r="F83" s="2">
        <f t="shared" si="23"/>
        <v>0.13846153846153847</v>
      </c>
      <c r="G83" s="9">
        <f>_XLL.RISKOUTPUT(,"Contaminated food products during a shift",80)+D83/(C83+D83)</f>
        <v>0.013574660633484163</v>
      </c>
      <c r="H83" s="2">
        <f>IF(C83&lt;1,0,_XLL.RISKBINOMIAL(ROUND(C83,0),I83))</f>
        <v>0</v>
      </c>
      <c r="I83" s="8">
        <f t="shared" si="24"/>
        <v>5.569062148913506E-05</v>
      </c>
      <c r="J83" s="2">
        <f t="shared" si="17"/>
        <v>1220.7418090519864</v>
      </c>
      <c r="K83" s="2">
        <f t="shared" si="18"/>
        <v>3.2581909480136027</v>
      </c>
      <c r="L83" s="10">
        <f>_XLL.RISKOUTPUT(,"Contaminated food contact surfaces during a shift",80)+K83/(J83+K83)</f>
        <v>0.00266192070916144</v>
      </c>
      <c r="M83" s="2">
        <f>IF(J83&lt;1,0,_XLL.RISKBINOMIAL(ROUND(J83,0),N83))</f>
        <v>0</v>
      </c>
      <c r="N83" s="11">
        <f t="shared" si="25"/>
        <v>1.3308466217609727E-05</v>
      </c>
      <c r="O83" s="2">
        <f t="shared" si="26"/>
        <v>68</v>
      </c>
      <c r="P83" s="2">
        <f t="shared" si="27"/>
        <v>0</v>
      </c>
      <c r="Q83" s="10">
        <f>_XLL.RISKOUTPUT(,"Contaminated gloves during a shift",80)+P83/(O83+P83)</f>
        <v>0</v>
      </c>
      <c r="R83" s="2">
        <f>IF(O83&lt;1,0,_XLL.RISKBINOMIAL(ROUND(O83,0),S83))</f>
        <v>0</v>
      </c>
      <c r="S83" s="11">
        <f t="shared" si="19"/>
        <v>0.0002337817386286467</v>
      </c>
      <c r="U83" s="2">
        <f t="shared" si="14"/>
        <v>102</v>
      </c>
      <c r="V83" s="2">
        <f t="shared" si="15"/>
        <v>1224</v>
      </c>
      <c r="W83" s="2">
        <f t="shared" si="16"/>
        <v>68</v>
      </c>
    </row>
    <row r="84" spans="1:23" ht="12.75">
      <c r="A84">
        <v>1</v>
      </c>
      <c r="B84">
        <v>80</v>
      </c>
      <c r="C84" s="2">
        <f t="shared" si="20"/>
        <v>100.61538461538461</v>
      </c>
      <c r="D84" s="2">
        <f t="shared" si="21"/>
        <v>1.3846153846153846</v>
      </c>
      <c r="E84" s="2">
        <f t="shared" si="22"/>
        <v>10.061538461538461</v>
      </c>
      <c r="F84" s="2">
        <f t="shared" si="23"/>
        <v>0.13846153846153847</v>
      </c>
      <c r="G84" s="9">
        <f>_XLL.RISKOUTPUT(,"Contaminated food products during a shift",81)+D84/(C84+D84)</f>
        <v>0.013574660633484163</v>
      </c>
      <c r="H84" s="2">
        <f>IF(C84&lt;1,0,_XLL.RISKBINOMIAL(ROUND(C84,0),I84))</f>
        <v>0</v>
      </c>
      <c r="I84" s="8">
        <f t="shared" si="24"/>
        <v>5.569062148913506E-05</v>
      </c>
      <c r="J84" s="2">
        <f t="shared" si="17"/>
        <v>1220.7418090519864</v>
      </c>
      <c r="K84" s="2">
        <f t="shared" si="18"/>
        <v>3.2581909480136027</v>
      </c>
      <c r="L84" s="10">
        <f>_XLL.RISKOUTPUT(,"Contaminated food contact surfaces during a shift",81)+K84/(J84+K84)</f>
        <v>0.00266192070916144</v>
      </c>
      <c r="M84" s="2">
        <f>IF(J84&lt;1,0,_XLL.RISKBINOMIAL(ROUND(J84,0),N84))</f>
        <v>0</v>
      </c>
      <c r="N84" s="11">
        <f t="shared" si="25"/>
        <v>1.3308466217609727E-05</v>
      </c>
      <c r="O84" s="2">
        <f t="shared" si="26"/>
        <v>68</v>
      </c>
      <c r="P84" s="2">
        <f t="shared" si="27"/>
        <v>0</v>
      </c>
      <c r="Q84" s="10">
        <f>_XLL.RISKOUTPUT(,"Contaminated gloves during a shift",81)+P84/(O84+P84)</f>
        <v>0</v>
      </c>
      <c r="R84" s="2">
        <f>IF(O84&lt;1,0,_XLL.RISKBINOMIAL(ROUND(O84,0),S84))</f>
        <v>0</v>
      </c>
      <c r="S84" s="11">
        <f t="shared" si="19"/>
        <v>0.0002337817386286467</v>
      </c>
      <c r="U84" s="2">
        <f t="shared" si="14"/>
        <v>102</v>
      </c>
      <c r="V84" s="2">
        <f t="shared" si="15"/>
        <v>1224</v>
      </c>
      <c r="W84" s="2">
        <f t="shared" si="16"/>
        <v>68</v>
      </c>
    </row>
    <row r="85" spans="1:23" ht="12.75">
      <c r="A85">
        <v>1</v>
      </c>
      <c r="B85">
        <v>81</v>
      </c>
      <c r="C85" s="2">
        <f t="shared" si="20"/>
        <v>100.61538461538461</v>
      </c>
      <c r="D85" s="2">
        <f t="shared" si="21"/>
        <v>1.3846153846153846</v>
      </c>
      <c r="E85" s="2">
        <f t="shared" si="22"/>
        <v>10.061538461538461</v>
      </c>
      <c r="F85" s="2">
        <f t="shared" si="23"/>
        <v>0.13846153846153847</v>
      </c>
      <c r="G85" s="9">
        <f>_XLL.RISKOUTPUT(,"Contaminated food products during a shift",82)+D85/(C85+D85)</f>
        <v>0.013574660633484163</v>
      </c>
      <c r="H85" s="2">
        <f>IF(C85&lt;1,0,_XLL.RISKBINOMIAL(ROUND(C85,0),I85))</f>
        <v>0</v>
      </c>
      <c r="I85" s="8">
        <f t="shared" si="24"/>
        <v>5.569062148913506E-05</v>
      </c>
      <c r="J85" s="2">
        <f t="shared" si="17"/>
        <v>1220.7418090519864</v>
      </c>
      <c r="K85" s="2">
        <f t="shared" si="18"/>
        <v>3.2581909480136027</v>
      </c>
      <c r="L85" s="10">
        <f>_XLL.RISKOUTPUT(,"Contaminated food contact surfaces during a shift",82)+K85/(J85+K85)</f>
        <v>0.00266192070916144</v>
      </c>
      <c r="M85" s="2">
        <f>IF(J85&lt;1,0,_XLL.RISKBINOMIAL(ROUND(J85,0),N85))</f>
        <v>0</v>
      </c>
      <c r="N85" s="11">
        <f t="shared" si="25"/>
        <v>1.3308466217609727E-05</v>
      </c>
      <c r="O85" s="2">
        <f t="shared" si="26"/>
        <v>68</v>
      </c>
      <c r="P85" s="2">
        <f t="shared" si="27"/>
        <v>0</v>
      </c>
      <c r="Q85" s="10">
        <f>_XLL.RISKOUTPUT(,"Contaminated gloves during a shift",82)+P85/(O85+P85)</f>
        <v>0</v>
      </c>
      <c r="R85" s="2">
        <f>IF(O85&lt;1,0,_XLL.RISKBINOMIAL(ROUND(O85,0),S85))</f>
        <v>0</v>
      </c>
      <c r="S85" s="11">
        <f t="shared" si="19"/>
        <v>0.0002337817386286467</v>
      </c>
      <c r="U85" s="2">
        <f t="shared" si="14"/>
        <v>102</v>
      </c>
      <c r="V85" s="2">
        <f t="shared" si="15"/>
        <v>1224</v>
      </c>
      <c r="W85" s="2">
        <f t="shared" si="16"/>
        <v>68</v>
      </c>
    </row>
    <row r="86" spans="1:23" ht="12.75">
      <c r="A86">
        <v>1</v>
      </c>
      <c r="B86">
        <v>82</v>
      </c>
      <c r="C86" s="2">
        <f t="shared" si="20"/>
        <v>100.61538461538461</v>
      </c>
      <c r="D86" s="2">
        <f t="shared" si="21"/>
        <v>1.3846153846153846</v>
      </c>
      <c r="E86" s="2">
        <f t="shared" si="22"/>
        <v>10.061538461538461</v>
      </c>
      <c r="F86" s="2">
        <f t="shared" si="23"/>
        <v>0.13846153846153847</v>
      </c>
      <c r="G86" s="9">
        <f>_XLL.RISKOUTPUT(,"Contaminated food products during a shift",83)+D86/(C86+D86)</f>
        <v>0.013574660633484163</v>
      </c>
      <c r="H86" s="2">
        <f>IF(C86&lt;1,0,_XLL.RISKBINOMIAL(ROUND(C86,0),I86))</f>
        <v>0</v>
      </c>
      <c r="I86" s="8">
        <f t="shared" si="24"/>
        <v>5.569062148913506E-05</v>
      </c>
      <c r="J86" s="2">
        <f t="shared" si="17"/>
        <v>1220.7418090519864</v>
      </c>
      <c r="K86" s="2">
        <f t="shared" si="18"/>
        <v>3.2581909480136027</v>
      </c>
      <c r="L86" s="10">
        <f>_XLL.RISKOUTPUT(,"Contaminated food contact surfaces during a shift",83)+K86/(J86+K86)</f>
        <v>0.00266192070916144</v>
      </c>
      <c r="M86" s="2">
        <f>IF(J86&lt;1,0,_XLL.RISKBINOMIAL(ROUND(J86,0),N86))</f>
        <v>0</v>
      </c>
      <c r="N86" s="11">
        <f t="shared" si="25"/>
        <v>1.3308466217609727E-05</v>
      </c>
      <c r="O86" s="2">
        <f t="shared" si="26"/>
        <v>68</v>
      </c>
      <c r="P86" s="2">
        <f t="shared" si="27"/>
        <v>0</v>
      </c>
      <c r="Q86" s="10">
        <f>_XLL.RISKOUTPUT(,"Contaminated gloves during a shift",83)+P86/(O86+P86)</f>
        <v>0</v>
      </c>
      <c r="R86" s="2">
        <f>IF(O86&lt;1,0,_XLL.RISKBINOMIAL(ROUND(O86,0),S86))</f>
        <v>0</v>
      </c>
      <c r="S86" s="11">
        <f t="shared" si="19"/>
        <v>0.0002337817386286467</v>
      </c>
      <c r="U86" s="2">
        <f t="shared" si="14"/>
        <v>102</v>
      </c>
      <c r="V86" s="2">
        <f t="shared" si="15"/>
        <v>1224</v>
      </c>
      <c r="W86" s="2">
        <f t="shared" si="16"/>
        <v>68</v>
      </c>
    </row>
    <row r="87" spans="1:23" ht="12.75">
      <c r="A87">
        <v>1</v>
      </c>
      <c r="B87">
        <v>83</v>
      </c>
      <c r="C87" s="2">
        <f t="shared" si="20"/>
        <v>100.61538461538461</v>
      </c>
      <c r="D87" s="2">
        <f t="shared" si="21"/>
        <v>1.3846153846153846</v>
      </c>
      <c r="E87" s="2">
        <f t="shared" si="22"/>
        <v>10.061538461538461</v>
      </c>
      <c r="F87" s="2">
        <f t="shared" si="23"/>
        <v>0.13846153846153847</v>
      </c>
      <c r="G87" s="9">
        <f>_XLL.RISKOUTPUT(,"Contaminated food products during a shift",84)+D87/(C87+D87)</f>
        <v>0.013574660633484163</v>
      </c>
      <c r="H87" s="2">
        <f>IF(C87&lt;1,0,_XLL.RISKBINOMIAL(ROUND(C87,0),I87))</f>
        <v>0</v>
      </c>
      <c r="I87" s="8">
        <f t="shared" si="24"/>
        <v>5.569062148913506E-05</v>
      </c>
      <c r="J87" s="2">
        <f t="shared" si="17"/>
        <v>1220.7418090519864</v>
      </c>
      <c r="K87" s="2">
        <f t="shared" si="18"/>
        <v>3.2581909480136027</v>
      </c>
      <c r="L87" s="10">
        <f>_XLL.RISKOUTPUT(,"Contaminated food contact surfaces during a shift",84)+K87/(J87+K87)</f>
        <v>0.00266192070916144</v>
      </c>
      <c r="M87" s="2">
        <f>IF(J87&lt;1,0,_XLL.RISKBINOMIAL(ROUND(J87,0),N87))</f>
        <v>0</v>
      </c>
      <c r="N87" s="11">
        <f t="shared" si="25"/>
        <v>1.3308466217609727E-05</v>
      </c>
      <c r="O87" s="2">
        <f t="shared" si="26"/>
        <v>68</v>
      </c>
      <c r="P87" s="2">
        <f t="shared" si="27"/>
        <v>0</v>
      </c>
      <c r="Q87" s="10">
        <f>_XLL.RISKOUTPUT(,"Contaminated gloves during a shift",84)+P87/(O87+P87)</f>
        <v>0</v>
      </c>
      <c r="R87" s="2">
        <f>IF(O87&lt;1,0,_XLL.RISKBINOMIAL(ROUND(O87,0),S87))</f>
        <v>0</v>
      </c>
      <c r="S87" s="11">
        <f t="shared" si="19"/>
        <v>0.0002337817386286467</v>
      </c>
      <c r="U87" s="2">
        <f t="shared" si="14"/>
        <v>102</v>
      </c>
      <c r="V87" s="2">
        <f t="shared" si="15"/>
        <v>1224</v>
      </c>
      <c r="W87" s="2">
        <f t="shared" si="16"/>
        <v>68</v>
      </c>
    </row>
    <row r="88" spans="1:23" ht="12.75">
      <c r="A88">
        <v>1</v>
      </c>
      <c r="B88">
        <v>84</v>
      </c>
      <c r="C88" s="2">
        <f t="shared" si="20"/>
        <v>100.61538461538461</v>
      </c>
      <c r="D88" s="2">
        <f t="shared" si="21"/>
        <v>1.3846153846153846</v>
      </c>
      <c r="E88" s="2">
        <f t="shared" si="22"/>
        <v>10.061538461538461</v>
      </c>
      <c r="F88" s="2">
        <f t="shared" si="23"/>
        <v>0.13846153846153847</v>
      </c>
      <c r="G88" s="9">
        <f>_XLL.RISKOUTPUT(,"Contaminated food products during a shift",85)+D88/(C88+D88)</f>
        <v>0.013574660633484163</v>
      </c>
      <c r="H88" s="2">
        <f>IF(C88&lt;1,0,_XLL.RISKBINOMIAL(ROUND(C88,0),I88))</f>
        <v>0</v>
      </c>
      <c r="I88" s="8">
        <f t="shared" si="24"/>
        <v>5.569062148913506E-05</v>
      </c>
      <c r="J88" s="2">
        <f t="shared" si="17"/>
        <v>1220.7418090519864</v>
      </c>
      <c r="K88" s="2">
        <f t="shared" si="18"/>
        <v>3.2581909480136027</v>
      </c>
      <c r="L88" s="10">
        <f>_XLL.RISKOUTPUT(,"Contaminated food contact surfaces during a shift",85)+K88/(J88+K88)</f>
        <v>0.00266192070916144</v>
      </c>
      <c r="M88" s="2">
        <f>IF(J88&lt;1,0,_XLL.RISKBINOMIAL(ROUND(J88,0),N88))</f>
        <v>0</v>
      </c>
      <c r="N88" s="11">
        <f t="shared" si="25"/>
        <v>1.3308466217609727E-05</v>
      </c>
      <c r="O88" s="2">
        <f t="shared" si="26"/>
        <v>68</v>
      </c>
      <c r="P88" s="2">
        <f t="shared" si="27"/>
        <v>0</v>
      </c>
      <c r="Q88" s="10">
        <f>_XLL.RISKOUTPUT(,"Contaminated gloves during a shift",85)+P88/(O88+P88)</f>
        <v>0</v>
      </c>
      <c r="R88" s="2">
        <f>IF(O88&lt;1,0,_XLL.RISKBINOMIAL(ROUND(O88,0),S88))</f>
        <v>0</v>
      </c>
      <c r="S88" s="11">
        <f t="shared" si="19"/>
        <v>0.0002337817386286467</v>
      </c>
      <c r="U88" s="2">
        <f t="shared" si="14"/>
        <v>102</v>
      </c>
      <c r="V88" s="2">
        <f t="shared" si="15"/>
        <v>1224</v>
      </c>
      <c r="W88" s="2">
        <f t="shared" si="16"/>
        <v>68</v>
      </c>
    </row>
    <row r="89" spans="1:23" ht="12.75">
      <c r="A89">
        <v>1</v>
      </c>
      <c r="B89">
        <v>85</v>
      </c>
      <c r="C89" s="2">
        <f t="shared" si="20"/>
        <v>100.61538461538461</v>
      </c>
      <c r="D89" s="2">
        <f t="shared" si="21"/>
        <v>1.3846153846153846</v>
      </c>
      <c r="E89" s="2">
        <f t="shared" si="22"/>
        <v>10.061538461538461</v>
      </c>
      <c r="F89" s="2">
        <f t="shared" si="23"/>
        <v>0.13846153846153847</v>
      </c>
      <c r="G89" s="9">
        <f>_XLL.RISKOUTPUT(,"Contaminated food products during a shift",86)+D89/(C89+D89)</f>
        <v>0.013574660633484163</v>
      </c>
      <c r="H89" s="2">
        <f>IF(C89&lt;1,0,_XLL.RISKBINOMIAL(ROUND(C89,0),I89))</f>
        <v>0</v>
      </c>
      <c r="I89" s="8">
        <f t="shared" si="24"/>
        <v>5.569062148913506E-05</v>
      </c>
      <c r="J89" s="2">
        <f t="shared" si="17"/>
        <v>1220.7418090519864</v>
      </c>
      <c r="K89" s="2">
        <f t="shared" si="18"/>
        <v>3.2581909480136027</v>
      </c>
      <c r="L89" s="10">
        <f>_XLL.RISKOUTPUT(,"Contaminated food contact surfaces during a shift",86)+K89/(J89+K89)</f>
        <v>0.00266192070916144</v>
      </c>
      <c r="M89" s="2">
        <f>IF(J89&lt;1,0,_XLL.RISKBINOMIAL(ROUND(J89,0),N89))</f>
        <v>0</v>
      </c>
      <c r="N89" s="11">
        <f t="shared" si="25"/>
        <v>1.3308466217609727E-05</v>
      </c>
      <c r="O89" s="2">
        <f t="shared" si="26"/>
        <v>68</v>
      </c>
      <c r="P89" s="2">
        <f t="shared" si="27"/>
        <v>0</v>
      </c>
      <c r="Q89" s="10">
        <f>_XLL.RISKOUTPUT(,"Contaminated gloves during a shift",86)+P89/(O89+P89)</f>
        <v>0</v>
      </c>
      <c r="R89" s="2">
        <f>IF(O89&lt;1,0,_XLL.RISKBINOMIAL(ROUND(O89,0),S89))</f>
        <v>0</v>
      </c>
      <c r="S89" s="11">
        <f t="shared" si="19"/>
        <v>0.0002337817386286467</v>
      </c>
      <c r="U89" s="2">
        <f t="shared" si="14"/>
        <v>102</v>
      </c>
      <c r="V89" s="2">
        <f t="shared" si="15"/>
        <v>1224</v>
      </c>
      <c r="W89" s="2">
        <f t="shared" si="16"/>
        <v>68</v>
      </c>
    </row>
    <row r="90" spans="1:23" ht="12.75">
      <c r="A90">
        <v>1</v>
      </c>
      <c r="B90">
        <v>86</v>
      </c>
      <c r="C90" s="2">
        <f t="shared" si="20"/>
        <v>100.61538461538461</v>
      </c>
      <c r="D90" s="2">
        <f t="shared" si="21"/>
        <v>1.3846153846153846</v>
      </c>
      <c r="E90" s="2">
        <f t="shared" si="22"/>
        <v>10.061538461538461</v>
      </c>
      <c r="F90" s="2">
        <f t="shared" si="23"/>
        <v>0.13846153846153847</v>
      </c>
      <c r="G90" s="9">
        <f>_XLL.RISKOUTPUT(,"Contaminated food products during a shift",87)+D90/(C90+D90)</f>
        <v>0.013574660633484163</v>
      </c>
      <c r="H90" s="2">
        <f>IF(C90&lt;1,0,_XLL.RISKBINOMIAL(ROUND(C90,0),I90))</f>
        <v>0</v>
      </c>
      <c r="I90" s="8">
        <f t="shared" si="24"/>
        <v>5.569062148913506E-05</v>
      </c>
      <c r="J90" s="2">
        <f t="shared" si="17"/>
        <v>1220.7418090519864</v>
      </c>
      <c r="K90" s="2">
        <f t="shared" si="18"/>
        <v>3.2581909480136027</v>
      </c>
      <c r="L90" s="10">
        <f>_XLL.RISKOUTPUT(,"Contaminated food contact surfaces during a shift",87)+K90/(J90+K90)</f>
        <v>0.00266192070916144</v>
      </c>
      <c r="M90" s="2">
        <f>IF(J90&lt;1,0,_XLL.RISKBINOMIAL(ROUND(J90,0),N90))</f>
        <v>0</v>
      </c>
      <c r="N90" s="11">
        <f t="shared" si="25"/>
        <v>1.3308466217609727E-05</v>
      </c>
      <c r="O90" s="2">
        <f t="shared" si="26"/>
        <v>68</v>
      </c>
      <c r="P90" s="2">
        <f t="shared" si="27"/>
        <v>0</v>
      </c>
      <c r="Q90" s="10">
        <f>_XLL.RISKOUTPUT(,"Contaminated gloves during a shift",87)+P90/(O90+P90)</f>
        <v>0</v>
      </c>
      <c r="R90" s="2">
        <f>IF(O90&lt;1,0,_XLL.RISKBINOMIAL(ROUND(O90,0),S90))</f>
        <v>0</v>
      </c>
      <c r="S90" s="11">
        <f t="shared" si="19"/>
        <v>0.0002337817386286467</v>
      </c>
      <c r="U90" s="2">
        <f t="shared" si="14"/>
        <v>102</v>
      </c>
      <c r="V90" s="2">
        <f t="shared" si="15"/>
        <v>1224</v>
      </c>
      <c r="W90" s="2">
        <f t="shared" si="16"/>
        <v>68</v>
      </c>
    </row>
    <row r="91" spans="1:23" ht="12.75">
      <c r="A91">
        <v>1</v>
      </c>
      <c r="B91">
        <v>87</v>
      </c>
      <c r="C91" s="2">
        <f t="shared" si="20"/>
        <v>100.61538461538461</v>
      </c>
      <c r="D91" s="2">
        <f t="shared" si="21"/>
        <v>1.3846153846153846</v>
      </c>
      <c r="E91" s="2">
        <f t="shared" si="22"/>
        <v>10.061538461538461</v>
      </c>
      <c r="F91" s="2">
        <f t="shared" si="23"/>
        <v>0.13846153846153847</v>
      </c>
      <c r="G91" s="9">
        <f>_XLL.RISKOUTPUT(,"Contaminated food products during a shift",88)+D91/(C91+D91)</f>
        <v>0.013574660633484163</v>
      </c>
      <c r="H91" s="2">
        <f>IF(C91&lt;1,0,_XLL.RISKBINOMIAL(ROUND(C91,0),I91))</f>
        <v>0</v>
      </c>
      <c r="I91" s="8">
        <f t="shared" si="24"/>
        <v>5.569062148913506E-05</v>
      </c>
      <c r="J91" s="2">
        <f t="shared" si="17"/>
        <v>1220.7418090519864</v>
      </c>
      <c r="K91" s="2">
        <f t="shared" si="18"/>
        <v>3.2581909480136027</v>
      </c>
      <c r="L91" s="10">
        <f>_XLL.RISKOUTPUT(,"Contaminated food contact surfaces during a shift",88)+K91/(J91+K91)</f>
        <v>0.00266192070916144</v>
      </c>
      <c r="M91" s="2">
        <f>IF(J91&lt;1,0,_XLL.RISKBINOMIAL(ROUND(J91,0),N91))</f>
        <v>0</v>
      </c>
      <c r="N91" s="11">
        <f t="shared" si="25"/>
        <v>1.3308466217609727E-05</v>
      </c>
      <c r="O91" s="2">
        <f t="shared" si="26"/>
        <v>68</v>
      </c>
      <c r="P91" s="2">
        <f t="shared" si="27"/>
        <v>0</v>
      </c>
      <c r="Q91" s="10">
        <f>_XLL.RISKOUTPUT(,"Contaminated gloves during a shift",88)+P91/(O91+P91)</f>
        <v>0</v>
      </c>
      <c r="R91" s="2">
        <f>IF(O91&lt;1,0,_XLL.RISKBINOMIAL(ROUND(O91,0),S91))</f>
        <v>0</v>
      </c>
      <c r="S91" s="11">
        <f t="shared" si="19"/>
        <v>0.0002337817386286467</v>
      </c>
      <c r="U91" s="2">
        <f t="shared" si="14"/>
        <v>102</v>
      </c>
      <c r="V91" s="2">
        <f t="shared" si="15"/>
        <v>1224</v>
      </c>
      <c r="W91" s="2">
        <f t="shared" si="16"/>
        <v>68</v>
      </c>
    </row>
    <row r="92" spans="1:23" ht="12.75">
      <c r="A92">
        <v>1</v>
      </c>
      <c r="B92">
        <v>88</v>
      </c>
      <c r="C92" s="2">
        <f t="shared" si="20"/>
        <v>100.61538461538461</v>
      </c>
      <c r="D92" s="2">
        <f t="shared" si="21"/>
        <v>1.3846153846153846</v>
      </c>
      <c r="E92" s="2">
        <f t="shared" si="22"/>
        <v>10.061538461538461</v>
      </c>
      <c r="F92" s="2">
        <f t="shared" si="23"/>
        <v>0.13846153846153847</v>
      </c>
      <c r="G92" s="9">
        <f>_XLL.RISKOUTPUT(,"Contaminated food products during a shift",89)+D92/(C92+D92)</f>
        <v>0.013574660633484163</v>
      </c>
      <c r="H92" s="2">
        <f>IF(C92&lt;1,0,_XLL.RISKBINOMIAL(ROUND(C92,0),I92))</f>
        <v>0</v>
      </c>
      <c r="I92" s="8">
        <f t="shared" si="24"/>
        <v>5.569062148913506E-05</v>
      </c>
      <c r="J92" s="2">
        <f t="shared" si="17"/>
        <v>1220.7418090519864</v>
      </c>
      <c r="K92" s="2">
        <f t="shared" si="18"/>
        <v>3.2581909480136027</v>
      </c>
      <c r="L92" s="10">
        <f>_XLL.RISKOUTPUT(,"Contaminated food contact surfaces during a shift",89)+K92/(J92+K92)</f>
        <v>0.00266192070916144</v>
      </c>
      <c r="M92" s="2">
        <f>IF(J92&lt;1,0,_XLL.RISKBINOMIAL(ROUND(J92,0),N92))</f>
        <v>0</v>
      </c>
      <c r="N92" s="11">
        <f t="shared" si="25"/>
        <v>1.3308466217609727E-05</v>
      </c>
      <c r="O92" s="2">
        <f t="shared" si="26"/>
        <v>68</v>
      </c>
      <c r="P92" s="2">
        <f t="shared" si="27"/>
        <v>0</v>
      </c>
      <c r="Q92" s="10">
        <f>_XLL.RISKOUTPUT(,"Contaminated gloves during a shift",89)+P92/(O92+P92)</f>
        <v>0</v>
      </c>
      <c r="R92" s="2">
        <f>IF(O92&lt;1,0,_XLL.RISKBINOMIAL(ROUND(O92,0),S92))</f>
        <v>0</v>
      </c>
      <c r="S92" s="11">
        <f t="shared" si="19"/>
        <v>0.0002337817386286467</v>
      </c>
      <c r="U92" s="2">
        <f t="shared" si="14"/>
        <v>102</v>
      </c>
      <c r="V92" s="2">
        <f t="shared" si="15"/>
        <v>1224</v>
      </c>
      <c r="W92" s="2">
        <f t="shared" si="16"/>
        <v>68</v>
      </c>
    </row>
    <row r="93" spans="1:23" ht="12.75">
      <c r="A93">
        <v>1</v>
      </c>
      <c r="B93">
        <v>89</v>
      </c>
      <c r="C93" s="2">
        <f t="shared" si="20"/>
        <v>100.61538461538461</v>
      </c>
      <c r="D93" s="2">
        <f t="shared" si="21"/>
        <v>1.3846153846153846</v>
      </c>
      <c r="E93" s="2">
        <f t="shared" si="22"/>
        <v>10.061538461538461</v>
      </c>
      <c r="F93" s="2">
        <f t="shared" si="23"/>
        <v>0.13846153846153847</v>
      </c>
      <c r="G93" s="9">
        <f>_XLL.RISKOUTPUT(,"Contaminated food products during a shift",90)+D93/(C93+D93)</f>
        <v>0.013574660633484163</v>
      </c>
      <c r="H93" s="2">
        <f>IF(C93&lt;1,0,_XLL.RISKBINOMIAL(ROUND(C93,0),I93))</f>
        <v>0</v>
      </c>
      <c r="I93" s="8">
        <f t="shared" si="24"/>
        <v>5.569062148913506E-05</v>
      </c>
      <c r="J93" s="2">
        <f t="shared" si="17"/>
        <v>1220.7418090519864</v>
      </c>
      <c r="K93" s="2">
        <f t="shared" si="18"/>
        <v>3.2581909480136027</v>
      </c>
      <c r="L93" s="10">
        <f>_XLL.RISKOUTPUT(,"Contaminated food contact surfaces during a shift",90)+K93/(J93+K93)</f>
        <v>0.00266192070916144</v>
      </c>
      <c r="M93" s="2">
        <f>IF(J93&lt;1,0,_XLL.RISKBINOMIAL(ROUND(J93,0),N93))</f>
        <v>0</v>
      </c>
      <c r="N93" s="11">
        <f t="shared" si="25"/>
        <v>1.3308466217609727E-05</v>
      </c>
      <c r="O93" s="2">
        <f t="shared" si="26"/>
        <v>68</v>
      </c>
      <c r="P93" s="2">
        <f t="shared" si="27"/>
        <v>0</v>
      </c>
      <c r="Q93" s="10">
        <f>_XLL.RISKOUTPUT(,"Contaminated gloves during a shift",90)+P93/(O93+P93)</f>
        <v>0</v>
      </c>
      <c r="R93" s="2">
        <f>IF(O93&lt;1,0,_XLL.RISKBINOMIAL(ROUND(O93,0),S93))</f>
        <v>0</v>
      </c>
      <c r="S93" s="11">
        <f t="shared" si="19"/>
        <v>0.0002337817386286467</v>
      </c>
      <c r="U93" s="2">
        <f t="shared" si="14"/>
        <v>102</v>
      </c>
      <c r="V93" s="2">
        <f t="shared" si="15"/>
        <v>1224</v>
      </c>
      <c r="W93" s="2">
        <f t="shared" si="16"/>
        <v>68</v>
      </c>
    </row>
    <row r="94" spans="1:23" ht="12.75">
      <c r="A94">
        <v>1</v>
      </c>
      <c r="B94">
        <v>90</v>
      </c>
      <c r="C94" s="2">
        <f t="shared" si="20"/>
        <v>100.61538461538461</v>
      </c>
      <c r="D94" s="2">
        <f t="shared" si="21"/>
        <v>1.3846153846153846</v>
      </c>
      <c r="E94" s="2">
        <f t="shared" si="22"/>
        <v>10.061538461538461</v>
      </c>
      <c r="F94" s="2">
        <f t="shared" si="23"/>
        <v>0.13846153846153847</v>
      </c>
      <c r="G94" s="9">
        <f>_XLL.RISKOUTPUT(,"Contaminated food products during a shift",91)+D94/(C94+D94)</f>
        <v>0.013574660633484163</v>
      </c>
      <c r="H94" s="2">
        <f>IF(C94&lt;1,0,_XLL.RISKBINOMIAL(ROUND(C94,0),I94))</f>
        <v>0</v>
      </c>
      <c r="I94" s="8">
        <f t="shared" si="24"/>
        <v>5.569062148913506E-05</v>
      </c>
      <c r="J94" s="2">
        <f t="shared" si="17"/>
        <v>1220.7418090519864</v>
      </c>
      <c r="K94" s="2">
        <f t="shared" si="18"/>
        <v>3.2581909480136027</v>
      </c>
      <c r="L94" s="10">
        <f>_XLL.RISKOUTPUT(,"Contaminated food contact surfaces during a shift",91)+K94/(J94+K94)</f>
        <v>0.00266192070916144</v>
      </c>
      <c r="M94" s="2">
        <f>IF(J94&lt;1,0,_XLL.RISKBINOMIAL(ROUND(J94,0),N94))</f>
        <v>0</v>
      </c>
      <c r="N94" s="11">
        <f t="shared" si="25"/>
        <v>1.3308466217609727E-05</v>
      </c>
      <c r="O94" s="2">
        <f t="shared" si="26"/>
        <v>68</v>
      </c>
      <c r="P94" s="2">
        <f t="shared" si="27"/>
        <v>0</v>
      </c>
      <c r="Q94" s="10">
        <f>_XLL.RISKOUTPUT(,"Contaminated gloves during a shift",91)+P94/(O94+P94)</f>
        <v>0</v>
      </c>
      <c r="R94" s="2">
        <f>IF(O94&lt;1,0,_XLL.RISKBINOMIAL(ROUND(O94,0),S94))</f>
        <v>0</v>
      </c>
      <c r="S94" s="11">
        <f t="shared" si="19"/>
        <v>0.0002337817386286467</v>
      </c>
      <c r="U94" s="2">
        <f t="shared" si="14"/>
        <v>102</v>
      </c>
      <c r="V94" s="2">
        <f t="shared" si="15"/>
        <v>1224</v>
      </c>
      <c r="W94" s="2">
        <f t="shared" si="16"/>
        <v>68</v>
      </c>
    </row>
    <row r="95" spans="1:23" ht="12.75">
      <c r="A95">
        <v>1</v>
      </c>
      <c r="B95">
        <v>91</v>
      </c>
      <c r="C95" s="2">
        <f t="shared" si="20"/>
        <v>100.61538461538461</v>
      </c>
      <c r="D95" s="2">
        <f t="shared" si="21"/>
        <v>1.3846153846153846</v>
      </c>
      <c r="E95" s="2">
        <f t="shared" si="22"/>
        <v>10.061538461538461</v>
      </c>
      <c r="F95" s="2">
        <f t="shared" si="23"/>
        <v>0.13846153846153847</v>
      </c>
      <c r="G95" s="9">
        <f>_XLL.RISKOUTPUT(,"Contaminated food products during a shift",92)+D95/(C95+D95)</f>
        <v>0.013574660633484163</v>
      </c>
      <c r="H95" s="2">
        <f>IF(C95&lt;1,0,_XLL.RISKBINOMIAL(ROUND(C95,0),I95))</f>
        <v>0</v>
      </c>
      <c r="I95" s="8">
        <f t="shared" si="24"/>
        <v>5.569062148913506E-05</v>
      </c>
      <c r="J95" s="2">
        <f t="shared" si="17"/>
        <v>1220.7418090519864</v>
      </c>
      <c r="K95" s="2">
        <f t="shared" si="18"/>
        <v>3.2581909480136027</v>
      </c>
      <c r="L95" s="10">
        <f>_XLL.RISKOUTPUT(,"Contaminated food contact surfaces during a shift",92)+K95/(J95+K95)</f>
        <v>0.00266192070916144</v>
      </c>
      <c r="M95" s="2">
        <f>IF(J95&lt;1,0,_XLL.RISKBINOMIAL(ROUND(J95,0),N95))</f>
        <v>0</v>
      </c>
      <c r="N95" s="11">
        <f t="shared" si="25"/>
        <v>1.3308466217609727E-05</v>
      </c>
      <c r="O95" s="2">
        <f t="shared" si="26"/>
        <v>68</v>
      </c>
      <c r="P95" s="2">
        <f t="shared" si="27"/>
        <v>0</v>
      </c>
      <c r="Q95" s="10">
        <f>_XLL.RISKOUTPUT(,"Contaminated gloves during a shift",92)+P95/(O95+P95)</f>
        <v>0</v>
      </c>
      <c r="R95" s="2">
        <f>IF(O95&lt;1,0,_XLL.RISKBINOMIAL(ROUND(O95,0),S95))</f>
        <v>0</v>
      </c>
      <c r="S95" s="11">
        <f t="shared" si="19"/>
        <v>0.0002337817386286467</v>
      </c>
      <c r="U95" s="2">
        <f t="shared" si="14"/>
        <v>102</v>
      </c>
      <c r="V95" s="2">
        <f t="shared" si="15"/>
        <v>1224</v>
      </c>
      <c r="W95" s="2">
        <f t="shared" si="16"/>
        <v>68</v>
      </c>
    </row>
    <row r="96" spans="1:23" ht="12.75">
      <c r="A96">
        <v>1</v>
      </c>
      <c r="B96">
        <v>92</v>
      </c>
      <c r="C96" s="2">
        <f t="shared" si="20"/>
        <v>100.61538461538461</v>
      </c>
      <c r="D96" s="2">
        <f t="shared" si="21"/>
        <v>1.3846153846153846</v>
      </c>
      <c r="E96" s="2">
        <f t="shared" si="22"/>
        <v>10.061538461538461</v>
      </c>
      <c r="F96" s="2">
        <f t="shared" si="23"/>
        <v>0.13846153846153847</v>
      </c>
      <c r="G96" s="9">
        <f>_XLL.RISKOUTPUT(,"Contaminated food products during a shift",93)+D96/(C96+D96)</f>
        <v>0.013574660633484163</v>
      </c>
      <c r="H96" s="2">
        <f>IF(C96&lt;1,0,_XLL.RISKBINOMIAL(ROUND(C96,0),I96))</f>
        <v>0</v>
      </c>
      <c r="I96" s="8">
        <f t="shared" si="24"/>
        <v>5.569062148913506E-05</v>
      </c>
      <c r="J96" s="2">
        <f t="shared" si="17"/>
        <v>1220.7418090519864</v>
      </c>
      <c r="K96" s="2">
        <f t="shared" si="18"/>
        <v>3.2581909480136027</v>
      </c>
      <c r="L96" s="10">
        <f>_XLL.RISKOUTPUT(,"Contaminated food contact surfaces during a shift",93)+K96/(J96+K96)</f>
        <v>0.00266192070916144</v>
      </c>
      <c r="M96" s="2">
        <f>IF(J96&lt;1,0,_XLL.RISKBINOMIAL(ROUND(J96,0),N96))</f>
        <v>0</v>
      </c>
      <c r="N96" s="11">
        <f t="shared" si="25"/>
        <v>1.3308466217609727E-05</v>
      </c>
      <c r="O96" s="2">
        <f t="shared" si="26"/>
        <v>68</v>
      </c>
      <c r="P96" s="2">
        <f t="shared" si="27"/>
        <v>0</v>
      </c>
      <c r="Q96" s="10">
        <f>_XLL.RISKOUTPUT(,"Contaminated gloves during a shift",93)+P96/(O96+P96)</f>
        <v>0</v>
      </c>
      <c r="R96" s="2">
        <f>IF(O96&lt;1,0,_XLL.RISKBINOMIAL(ROUND(O96,0),S96))</f>
        <v>0</v>
      </c>
      <c r="S96" s="11">
        <f t="shared" si="19"/>
        <v>0.0002337817386286467</v>
      </c>
      <c r="U96" s="2">
        <f t="shared" si="14"/>
        <v>102</v>
      </c>
      <c r="V96" s="2">
        <f t="shared" si="15"/>
        <v>1224</v>
      </c>
      <c r="W96" s="2">
        <f t="shared" si="16"/>
        <v>68</v>
      </c>
    </row>
    <row r="97" spans="1:23" ht="12.75">
      <c r="A97">
        <v>1</v>
      </c>
      <c r="B97">
        <v>93</v>
      </c>
      <c r="C97" s="2">
        <f t="shared" si="20"/>
        <v>100.61538461538461</v>
      </c>
      <c r="D97" s="2">
        <f t="shared" si="21"/>
        <v>1.3846153846153846</v>
      </c>
      <c r="E97" s="2">
        <f t="shared" si="22"/>
        <v>10.061538461538461</v>
      </c>
      <c r="F97" s="2">
        <f t="shared" si="23"/>
        <v>0.13846153846153847</v>
      </c>
      <c r="G97" s="9">
        <f>_XLL.RISKOUTPUT(,"Contaminated food products during a shift",94)+D97/(C97+D97)</f>
        <v>0.013574660633484163</v>
      </c>
      <c r="H97" s="2">
        <f>IF(C97&lt;1,0,_XLL.RISKBINOMIAL(ROUND(C97,0),I97))</f>
        <v>0</v>
      </c>
      <c r="I97" s="8">
        <f t="shared" si="24"/>
        <v>5.569062148913506E-05</v>
      </c>
      <c r="J97" s="2">
        <f t="shared" si="17"/>
        <v>1220.7418090519864</v>
      </c>
      <c r="K97" s="2">
        <f t="shared" si="18"/>
        <v>3.2581909480136027</v>
      </c>
      <c r="L97" s="10">
        <f>_XLL.RISKOUTPUT(,"Contaminated food contact surfaces during a shift",94)+K97/(J97+K97)</f>
        <v>0.00266192070916144</v>
      </c>
      <c r="M97" s="2">
        <f>IF(J97&lt;1,0,_XLL.RISKBINOMIAL(ROUND(J97,0),N97))</f>
        <v>0</v>
      </c>
      <c r="N97" s="11">
        <f t="shared" si="25"/>
        <v>1.3308466217609727E-05</v>
      </c>
      <c r="O97" s="2">
        <f t="shared" si="26"/>
        <v>68</v>
      </c>
      <c r="P97" s="2">
        <f t="shared" si="27"/>
        <v>0</v>
      </c>
      <c r="Q97" s="10">
        <f>_XLL.RISKOUTPUT(,"Contaminated gloves during a shift",94)+P97/(O97+P97)</f>
        <v>0</v>
      </c>
      <c r="R97" s="2">
        <f>IF(O97&lt;1,0,_XLL.RISKBINOMIAL(ROUND(O97,0),S97))</f>
        <v>0</v>
      </c>
      <c r="S97" s="11">
        <f t="shared" si="19"/>
        <v>0.0002337817386286467</v>
      </c>
      <c r="U97" s="2">
        <f t="shared" si="14"/>
        <v>102</v>
      </c>
      <c r="V97" s="2">
        <f t="shared" si="15"/>
        <v>1224</v>
      </c>
      <c r="W97" s="2">
        <f t="shared" si="16"/>
        <v>68</v>
      </c>
    </row>
    <row r="98" spans="1:23" ht="12.75">
      <c r="A98">
        <v>1</v>
      </c>
      <c r="B98">
        <v>94</v>
      </c>
      <c r="C98" s="2">
        <f t="shared" si="20"/>
        <v>100.61538461538461</v>
      </c>
      <c r="D98" s="2">
        <f t="shared" si="21"/>
        <v>1.3846153846153846</v>
      </c>
      <c r="E98" s="2">
        <f t="shared" si="22"/>
        <v>10.061538461538461</v>
      </c>
      <c r="F98" s="2">
        <f t="shared" si="23"/>
        <v>0.13846153846153847</v>
      </c>
      <c r="G98" s="9">
        <f>_XLL.RISKOUTPUT(,"Contaminated food products during a shift",95)+D98/(C98+D98)</f>
        <v>0.013574660633484163</v>
      </c>
      <c r="H98" s="2">
        <f>IF(C98&lt;1,0,_XLL.RISKBINOMIAL(ROUND(C98,0),I98))</f>
        <v>0</v>
      </c>
      <c r="I98" s="8">
        <f t="shared" si="24"/>
        <v>5.569062148913506E-05</v>
      </c>
      <c r="J98" s="2">
        <f t="shared" si="17"/>
        <v>1220.7418090519864</v>
      </c>
      <c r="K98" s="2">
        <f t="shared" si="18"/>
        <v>3.2581909480136027</v>
      </c>
      <c r="L98" s="10">
        <f>_XLL.RISKOUTPUT(,"Contaminated food contact surfaces during a shift",95)+K98/(J98+K98)</f>
        <v>0.00266192070916144</v>
      </c>
      <c r="M98" s="2">
        <f>IF(J98&lt;1,0,_XLL.RISKBINOMIAL(ROUND(J98,0),N98))</f>
        <v>0</v>
      </c>
      <c r="N98" s="11">
        <f t="shared" si="25"/>
        <v>1.3308466217609727E-05</v>
      </c>
      <c r="O98" s="2">
        <f t="shared" si="26"/>
        <v>68</v>
      </c>
      <c r="P98" s="2">
        <f t="shared" si="27"/>
        <v>0</v>
      </c>
      <c r="Q98" s="10">
        <f>_XLL.RISKOUTPUT(,"Contaminated gloves during a shift",95)+P98/(O98+P98)</f>
        <v>0</v>
      </c>
      <c r="R98" s="2">
        <f>IF(O98&lt;1,0,_XLL.RISKBINOMIAL(ROUND(O98,0),S98))</f>
        <v>0</v>
      </c>
      <c r="S98" s="11">
        <f t="shared" si="19"/>
        <v>0.0002337817386286467</v>
      </c>
      <c r="U98" s="2">
        <f t="shared" si="14"/>
        <v>102</v>
      </c>
      <c r="V98" s="2">
        <f t="shared" si="15"/>
        <v>1224</v>
      </c>
      <c r="W98" s="2">
        <f t="shared" si="16"/>
        <v>68</v>
      </c>
    </row>
    <row r="99" spans="1:23" ht="12.75">
      <c r="A99">
        <v>1</v>
      </c>
      <c r="B99">
        <v>95</v>
      </c>
      <c r="C99" s="2">
        <f t="shared" si="20"/>
        <v>100.61538461538461</v>
      </c>
      <c r="D99" s="2">
        <f t="shared" si="21"/>
        <v>1.3846153846153846</v>
      </c>
      <c r="E99" s="2">
        <f t="shared" si="22"/>
        <v>10.061538461538461</v>
      </c>
      <c r="F99" s="2">
        <f t="shared" si="23"/>
        <v>0.13846153846153847</v>
      </c>
      <c r="G99" s="9">
        <f>_XLL.RISKOUTPUT(,"Contaminated food products during a shift",96)+D99/(C99+D99)</f>
        <v>0.013574660633484163</v>
      </c>
      <c r="H99" s="2">
        <f>IF(C99&lt;1,0,_XLL.RISKBINOMIAL(ROUND(C99,0),I99))</f>
        <v>0</v>
      </c>
      <c r="I99" s="8">
        <f t="shared" si="24"/>
        <v>5.569062148913506E-05</v>
      </c>
      <c r="J99" s="2">
        <f t="shared" si="17"/>
        <v>1220.7418090519864</v>
      </c>
      <c r="K99" s="2">
        <f t="shared" si="18"/>
        <v>3.2581909480136027</v>
      </c>
      <c r="L99" s="10">
        <f>_XLL.RISKOUTPUT(,"Contaminated food contact surfaces during a shift",96)+K99/(J99+K99)</f>
        <v>0.00266192070916144</v>
      </c>
      <c r="M99" s="2">
        <f>IF(J99&lt;1,0,_XLL.RISKBINOMIAL(ROUND(J99,0),N99))</f>
        <v>0</v>
      </c>
      <c r="N99" s="11">
        <f t="shared" si="25"/>
        <v>1.3308466217609727E-05</v>
      </c>
      <c r="O99" s="2">
        <f t="shared" si="26"/>
        <v>68</v>
      </c>
      <c r="P99" s="2">
        <f t="shared" si="27"/>
        <v>0</v>
      </c>
      <c r="Q99" s="10">
        <f>_XLL.RISKOUTPUT(,"Contaminated gloves during a shift",96)+P99/(O99+P99)</f>
        <v>0</v>
      </c>
      <c r="R99" s="2">
        <f>IF(O99&lt;1,0,_XLL.RISKBINOMIAL(ROUND(O99,0),S99))</f>
        <v>0</v>
      </c>
      <c r="S99" s="11">
        <f t="shared" si="19"/>
        <v>0.0002337817386286467</v>
      </c>
      <c r="U99" s="2">
        <f t="shared" si="14"/>
        <v>102</v>
      </c>
      <c r="V99" s="2">
        <f t="shared" si="15"/>
        <v>1224</v>
      </c>
      <c r="W99" s="2">
        <f t="shared" si="16"/>
        <v>68</v>
      </c>
    </row>
    <row r="100" spans="1:23" ht="12.75">
      <c r="A100">
        <v>1</v>
      </c>
      <c r="B100">
        <v>96</v>
      </c>
      <c r="C100" s="2">
        <f t="shared" si="20"/>
        <v>100.61538461538461</v>
      </c>
      <c r="D100" s="2">
        <f t="shared" si="21"/>
        <v>1.3846153846153846</v>
      </c>
      <c r="E100" s="2">
        <f t="shared" si="22"/>
        <v>10.061538461538461</v>
      </c>
      <c r="F100" s="2">
        <f t="shared" si="23"/>
        <v>0.13846153846153847</v>
      </c>
      <c r="G100" s="9">
        <f>_XLL.RISKOUTPUT(,"Contaminated food products during a shift",97)+D100/(C100+D100)</f>
        <v>0.013574660633484163</v>
      </c>
      <c r="H100" s="2">
        <f>IF(C100&lt;1,0,_XLL.RISKBINOMIAL(ROUND(C100,0),I100))</f>
        <v>0</v>
      </c>
      <c r="I100" s="8">
        <f t="shared" si="24"/>
        <v>5.569062148913506E-05</v>
      </c>
      <c r="J100" s="2">
        <f t="shared" si="17"/>
        <v>1220.7418090519864</v>
      </c>
      <c r="K100" s="2">
        <f t="shared" si="18"/>
        <v>3.2581909480136027</v>
      </c>
      <c r="L100" s="10">
        <f>_XLL.RISKOUTPUT(,"Contaminated food contact surfaces during a shift",97)+K100/(J100+K100)</f>
        <v>0.00266192070916144</v>
      </c>
      <c r="M100" s="2">
        <f>IF(J100&lt;1,0,_XLL.RISKBINOMIAL(ROUND(J100,0),N100))</f>
        <v>0</v>
      </c>
      <c r="N100" s="11">
        <f t="shared" si="25"/>
        <v>1.3308466217609727E-05</v>
      </c>
      <c r="O100" s="2">
        <f t="shared" si="26"/>
        <v>68</v>
      </c>
      <c r="P100" s="2">
        <f t="shared" si="27"/>
        <v>0</v>
      </c>
      <c r="Q100" s="10">
        <f>_XLL.RISKOUTPUT(,"Contaminated gloves during a shift",97)+P100/(O100+P100)</f>
        <v>0</v>
      </c>
      <c r="R100" s="2">
        <f>IF(O100&lt;1,0,_XLL.RISKBINOMIAL(ROUND(O100,0),S100))</f>
        <v>0</v>
      </c>
      <c r="S100" s="11">
        <f t="shared" si="19"/>
        <v>0.0002337817386286467</v>
      </c>
      <c r="U100" s="2">
        <f t="shared" si="14"/>
        <v>102</v>
      </c>
      <c r="V100" s="2">
        <f t="shared" si="15"/>
        <v>1224</v>
      </c>
      <c r="W100" s="2">
        <f t="shared" si="16"/>
        <v>68</v>
      </c>
    </row>
    <row r="101" spans="1:23" ht="12.75">
      <c r="A101">
        <v>1</v>
      </c>
      <c r="B101">
        <v>97</v>
      </c>
      <c r="C101" s="2">
        <f t="shared" si="20"/>
        <v>100.61538461538461</v>
      </c>
      <c r="D101" s="2">
        <f t="shared" si="21"/>
        <v>1.3846153846153846</v>
      </c>
      <c r="E101" s="2">
        <f t="shared" si="22"/>
        <v>10.061538461538461</v>
      </c>
      <c r="F101" s="2">
        <f t="shared" si="23"/>
        <v>0.13846153846153847</v>
      </c>
      <c r="G101" s="9">
        <f>_XLL.RISKOUTPUT(,"Contaminated food products during a shift",98)+D101/(C101+D101)</f>
        <v>0.013574660633484163</v>
      </c>
      <c r="H101" s="2">
        <f>IF(C101&lt;1,0,_XLL.RISKBINOMIAL(ROUND(C101,0),I101))</f>
        <v>0</v>
      </c>
      <c r="I101" s="8">
        <f t="shared" si="24"/>
        <v>5.569062148913506E-05</v>
      </c>
      <c r="J101" s="2">
        <f t="shared" si="17"/>
        <v>1220.7418090519864</v>
      </c>
      <c r="K101" s="2">
        <f t="shared" si="18"/>
        <v>3.2581909480136027</v>
      </c>
      <c r="L101" s="10">
        <f>_XLL.RISKOUTPUT(,"Contaminated food contact surfaces during a shift",98)+K101/(J101+K101)</f>
        <v>0.00266192070916144</v>
      </c>
      <c r="M101" s="2">
        <f>IF(J101&lt;1,0,_XLL.RISKBINOMIAL(ROUND(J101,0),N101))</f>
        <v>0</v>
      </c>
      <c r="N101" s="11">
        <f t="shared" si="25"/>
        <v>1.3308466217609727E-05</v>
      </c>
      <c r="O101" s="2">
        <f t="shared" si="26"/>
        <v>68</v>
      </c>
      <c r="P101" s="2">
        <f t="shared" si="27"/>
        <v>0</v>
      </c>
      <c r="Q101" s="10">
        <f>_XLL.RISKOUTPUT(,"Contaminated gloves during a shift",98)+P101/(O101+P101)</f>
        <v>0</v>
      </c>
      <c r="R101" s="2">
        <f>IF(O101&lt;1,0,_XLL.RISKBINOMIAL(ROUND(O101,0),S101))</f>
        <v>0</v>
      </c>
      <c r="S101" s="11">
        <f t="shared" si="19"/>
        <v>0.0002337817386286467</v>
      </c>
      <c r="U101" s="2">
        <f t="shared" si="14"/>
        <v>102</v>
      </c>
      <c r="V101" s="2">
        <f t="shared" si="15"/>
        <v>1224</v>
      </c>
      <c r="W101" s="2">
        <f t="shared" si="16"/>
        <v>68</v>
      </c>
    </row>
    <row r="102" spans="1:23" ht="12.75">
      <c r="A102">
        <v>1</v>
      </c>
      <c r="B102">
        <v>98</v>
      </c>
      <c r="C102" s="2">
        <f t="shared" si="20"/>
        <v>100.61538461538461</v>
      </c>
      <c r="D102" s="2">
        <f t="shared" si="21"/>
        <v>1.3846153846153846</v>
      </c>
      <c r="E102" s="2">
        <f t="shared" si="22"/>
        <v>10.061538461538461</v>
      </c>
      <c r="F102" s="2">
        <f t="shared" si="23"/>
        <v>0.13846153846153847</v>
      </c>
      <c r="G102" s="9">
        <f>_XLL.RISKOUTPUT(,"Contaminated food products during a shift",99)+D102/(C102+D102)</f>
        <v>0.013574660633484163</v>
      </c>
      <c r="H102" s="2">
        <f>IF(C102&lt;1,0,_XLL.RISKBINOMIAL(ROUND(C102,0),I102))</f>
        <v>0</v>
      </c>
      <c r="I102" s="8">
        <f t="shared" si="24"/>
        <v>5.569062148913506E-05</v>
      </c>
      <c r="J102" s="2">
        <f t="shared" si="17"/>
        <v>1220.7418090519864</v>
      </c>
      <c r="K102" s="2">
        <f t="shared" si="18"/>
        <v>3.2581909480136027</v>
      </c>
      <c r="L102" s="10">
        <f>_XLL.RISKOUTPUT(,"Contaminated food contact surfaces during a shift",99)+K102/(J102+K102)</f>
        <v>0.00266192070916144</v>
      </c>
      <c r="M102" s="2">
        <f>IF(J102&lt;1,0,_XLL.RISKBINOMIAL(ROUND(J102,0),N102))</f>
        <v>0</v>
      </c>
      <c r="N102" s="11">
        <f t="shared" si="25"/>
        <v>1.3308466217609727E-05</v>
      </c>
      <c r="O102" s="2">
        <f t="shared" si="26"/>
        <v>68</v>
      </c>
      <c r="P102" s="2">
        <f t="shared" si="27"/>
        <v>0</v>
      </c>
      <c r="Q102" s="10">
        <f>_XLL.RISKOUTPUT(,"Contaminated gloves during a shift",99)+P102/(O102+P102)</f>
        <v>0</v>
      </c>
      <c r="R102" s="2">
        <f>IF(O102&lt;1,0,_XLL.RISKBINOMIAL(ROUND(O102,0),S102))</f>
        <v>0</v>
      </c>
      <c r="S102" s="11">
        <f t="shared" si="19"/>
        <v>0.0002337817386286467</v>
      </c>
      <c r="U102" s="2">
        <f t="shared" si="14"/>
        <v>102</v>
      </c>
      <c r="V102" s="2">
        <f t="shared" si="15"/>
        <v>1224</v>
      </c>
      <c r="W102" s="2">
        <f t="shared" si="16"/>
        <v>68</v>
      </c>
    </row>
    <row r="103" spans="1:23" ht="12.75">
      <c r="A103">
        <v>1</v>
      </c>
      <c r="B103">
        <v>99</v>
      </c>
      <c r="C103" s="2">
        <f t="shared" si="20"/>
        <v>100.61538461538461</v>
      </c>
      <c r="D103" s="2">
        <f t="shared" si="21"/>
        <v>1.3846153846153846</v>
      </c>
      <c r="E103" s="2">
        <f t="shared" si="22"/>
        <v>10.061538461538461</v>
      </c>
      <c r="F103" s="2">
        <f t="shared" si="23"/>
        <v>0.13846153846153847</v>
      </c>
      <c r="G103" s="9">
        <f>_XLL.RISKOUTPUT(,"Contaminated food products during a shift",100)+D103/(C103+D103)</f>
        <v>0.013574660633484163</v>
      </c>
      <c r="H103" s="2">
        <f>IF(C103&lt;1,0,_XLL.RISKBINOMIAL(ROUND(C103,0),I103))</f>
        <v>0</v>
      </c>
      <c r="I103" s="8">
        <f t="shared" si="24"/>
        <v>5.569062148913506E-05</v>
      </c>
      <c r="J103" s="2">
        <f t="shared" si="17"/>
        <v>1220.7418090519864</v>
      </c>
      <c r="K103" s="2">
        <f t="shared" si="18"/>
        <v>3.2581909480136027</v>
      </c>
      <c r="L103" s="10">
        <f>_XLL.RISKOUTPUT(,"Contaminated food contact surfaces during a shift",100)+K103/(J103+K103)</f>
        <v>0.00266192070916144</v>
      </c>
      <c r="M103" s="2">
        <f>IF(J103&lt;1,0,_XLL.RISKBINOMIAL(ROUND(J103,0),N103))</f>
        <v>0</v>
      </c>
      <c r="N103" s="11">
        <f t="shared" si="25"/>
        <v>1.3308466217609727E-05</v>
      </c>
      <c r="O103" s="2">
        <f t="shared" si="26"/>
        <v>68</v>
      </c>
      <c r="P103" s="2">
        <f t="shared" si="27"/>
        <v>0</v>
      </c>
      <c r="Q103" s="10">
        <f>_XLL.RISKOUTPUT(,"Contaminated gloves during a shift",100)+P103/(O103+P103)</f>
        <v>0</v>
      </c>
      <c r="R103" s="2">
        <f>IF(O103&lt;1,0,_XLL.RISKBINOMIAL(ROUND(O103,0),S103))</f>
        <v>0</v>
      </c>
      <c r="S103" s="11">
        <f t="shared" si="19"/>
        <v>0.0002337817386286467</v>
      </c>
      <c r="U103" s="2">
        <f t="shared" si="14"/>
        <v>102</v>
      </c>
      <c r="V103" s="2">
        <f t="shared" si="15"/>
        <v>1224</v>
      </c>
      <c r="W103" s="2">
        <f t="shared" si="16"/>
        <v>68</v>
      </c>
    </row>
    <row r="104" spans="1:23" ht="12.75">
      <c r="A104">
        <v>1</v>
      </c>
      <c r="B104">
        <v>100</v>
      </c>
      <c r="C104" s="2">
        <f t="shared" si="20"/>
        <v>100.61538461538461</v>
      </c>
      <c r="D104" s="2">
        <f t="shared" si="21"/>
        <v>1.3846153846153846</v>
      </c>
      <c r="E104" s="2">
        <f t="shared" si="22"/>
        <v>10.061538461538461</v>
      </c>
      <c r="F104" s="2">
        <f t="shared" si="23"/>
        <v>0.13846153846153847</v>
      </c>
      <c r="G104" s="9">
        <f>_XLL.RISKOUTPUT(,"Contaminated food products during a shift",101)+D104/(C104+D104)</f>
        <v>0.013574660633484163</v>
      </c>
      <c r="H104" s="2">
        <f>IF(C104&lt;1,0,_XLL.RISKBINOMIAL(ROUND(C104,0),I104))</f>
        <v>0</v>
      </c>
      <c r="I104" s="8">
        <f t="shared" si="24"/>
        <v>5.569062148913506E-05</v>
      </c>
      <c r="J104" s="2">
        <f t="shared" si="17"/>
        <v>1220.7418090519864</v>
      </c>
      <c r="K104" s="2">
        <f t="shared" si="18"/>
        <v>3.2581909480136027</v>
      </c>
      <c r="L104" s="10">
        <f>_XLL.RISKOUTPUT(,"Contaminated food contact surfaces during a shift",101)+K104/(J104+K104)</f>
        <v>0.00266192070916144</v>
      </c>
      <c r="M104" s="2">
        <f>IF(J104&lt;1,0,_XLL.RISKBINOMIAL(ROUND(J104,0),N104))</f>
        <v>0</v>
      </c>
      <c r="N104" s="11">
        <f t="shared" si="25"/>
        <v>1.3308466217609727E-05</v>
      </c>
      <c r="O104" s="2">
        <f t="shared" si="26"/>
        <v>68</v>
      </c>
      <c r="P104" s="2">
        <f t="shared" si="27"/>
        <v>0</v>
      </c>
      <c r="Q104" s="10">
        <f>_XLL.RISKOUTPUT(,"Contaminated gloves during a shift",101)+P104/(O104+P104)</f>
        <v>0</v>
      </c>
      <c r="R104" s="2">
        <f>IF(O104&lt;1,0,_XLL.RISKBINOMIAL(ROUND(O104,0),S104))</f>
        <v>0</v>
      </c>
      <c r="S104" s="11">
        <f t="shared" si="19"/>
        <v>0.0002337817386286467</v>
      </c>
      <c r="U104" s="2">
        <f t="shared" si="14"/>
        <v>102</v>
      </c>
      <c r="V104" s="2">
        <f t="shared" si="15"/>
        <v>1224</v>
      </c>
      <c r="W104" s="2">
        <f t="shared" si="16"/>
        <v>68</v>
      </c>
    </row>
    <row r="105" spans="1:23" ht="12.75">
      <c r="A105">
        <v>1</v>
      </c>
      <c r="B105">
        <v>101</v>
      </c>
      <c r="C105" s="2">
        <f t="shared" si="20"/>
        <v>100.61538461538461</v>
      </c>
      <c r="D105" s="2">
        <f t="shared" si="21"/>
        <v>1.3846153846153846</v>
      </c>
      <c r="E105" s="2">
        <f t="shared" si="22"/>
        <v>10.061538461538461</v>
      </c>
      <c r="F105" s="2">
        <f t="shared" si="23"/>
        <v>0.13846153846153847</v>
      </c>
      <c r="G105" s="9">
        <f>_XLL.RISKOUTPUT(,"Contaminated food products during a shift",102)+D105/(C105+D105)</f>
        <v>0.013574660633484163</v>
      </c>
      <c r="H105" s="2">
        <f>IF(C105&lt;1,0,_XLL.RISKBINOMIAL(ROUND(C105,0),I105))</f>
        <v>0</v>
      </c>
      <c r="I105" s="8">
        <f t="shared" si="24"/>
        <v>5.569062148913506E-05</v>
      </c>
      <c r="J105" s="2">
        <f t="shared" si="17"/>
        <v>1220.7418090519864</v>
      </c>
      <c r="K105" s="2">
        <f t="shared" si="18"/>
        <v>3.2581909480136027</v>
      </c>
      <c r="L105" s="10">
        <f>_XLL.RISKOUTPUT(,"Contaminated food contact surfaces during a shift",102)+K105/(J105+K105)</f>
        <v>0.00266192070916144</v>
      </c>
      <c r="M105" s="2">
        <f>IF(J105&lt;1,0,_XLL.RISKBINOMIAL(ROUND(J105,0),N105))</f>
        <v>0</v>
      </c>
      <c r="N105" s="11">
        <f t="shared" si="25"/>
        <v>1.3308466217609727E-05</v>
      </c>
      <c r="O105" s="2">
        <f t="shared" si="26"/>
        <v>68</v>
      </c>
      <c r="P105" s="2">
        <f t="shared" si="27"/>
        <v>0</v>
      </c>
      <c r="Q105" s="10">
        <f>_XLL.RISKOUTPUT(,"Contaminated gloves during a shift",102)+P105/(O105+P105)</f>
        <v>0</v>
      </c>
      <c r="R105" s="2">
        <f>IF(O105&lt;1,0,_XLL.RISKBINOMIAL(ROUND(O105,0),S105))</f>
        <v>0</v>
      </c>
      <c r="S105" s="11">
        <f t="shared" si="19"/>
        <v>0.0002337817386286467</v>
      </c>
      <c r="U105" s="2">
        <f t="shared" si="14"/>
        <v>102</v>
      </c>
      <c r="V105" s="2">
        <f t="shared" si="15"/>
        <v>1224</v>
      </c>
      <c r="W105" s="2">
        <f t="shared" si="16"/>
        <v>68</v>
      </c>
    </row>
    <row r="106" spans="1:23" ht="12.75">
      <c r="A106">
        <v>1</v>
      </c>
      <c r="B106">
        <v>102</v>
      </c>
      <c r="C106" s="2">
        <f t="shared" si="20"/>
        <v>100.61538461538461</v>
      </c>
      <c r="D106" s="2">
        <f t="shared" si="21"/>
        <v>1.3846153846153846</v>
      </c>
      <c r="E106" s="2">
        <f t="shared" si="22"/>
        <v>10.061538461538461</v>
      </c>
      <c r="F106" s="2">
        <f t="shared" si="23"/>
        <v>0.13846153846153847</v>
      </c>
      <c r="G106" s="9">
        <f>_XLL.RISKOUTPUT(,"Contaminated food products during a shift",103)+D106/(C106+D106)</f>
        <v>0.013574660633484163</v>
      </c>
      <c r="H106" s="2">
        <f>IF(C106&lt;1,0,_XLL.RISKBINOMIAL(ROUND(C106,0),I106))</f>
        <v>0</v>
      </c>
      <c r="I106" s="8">
        <f t="shared" si="24"/>
        <v>5.569062148913506E-05</v>
      </c>
      <c r="J106" s="2">
        <f t="shared" si="17"/>
        <v>1220.7418090519864</v>
      </c>
      <c r="K106" s="2">
        <f t="shared" si="18"/>
        <v>3.2581909480136027</v>
      </c>
      <c r="L106" s="10">
        <f>_XLL.RISKOUTPUT(,"Contaminated food contact surfaces during a shift",103)+K106/(J106+K106)</f>
        <v>0.00266192070916144</v>
      </c>
      <c r="M106" s="2">
        <f>IF(J106&lt;1,0,_XLL.RISKBINOMIAL(ROUND(J106,0),N106))</f>
        <v>0</v>
      </c>
      <c r="N106" s="11">
        <f t="shared" si="25"/>
        <v>1.3308466217609727E-05</v>
      </c>
      <c r="O106" s="2">
        <f t="shared" si="26"/>
        <v>68</v>
      </c>
      <c r="P106" s="2">
        <f t="shared" si="27"/>
        <v>0</v>
      </c>
      <c r="Q106" s="10">
        <f>_XLL.RISKOUTPUT(,"Contaminated gloves during a shift",103)+P106/(O106+P106)</f>
        <v>0</v>
      </c>
      <c r="R106" s="2">
        <f>IF(O106&lt;1,0,_XLL.RISKBINOMIAL(ROUND(O106,0),S106))</f>
        <v>0</v>
      </c>
      <c r="S106" s="11">
        <f t="shared" si="19"/>
        <v>0.0002337817386286467</v>
      </c>
      <c r="U106" s="2">
        <f t="shared" si="14"/>
        <v>102</v>
      </c>
      <c r="V106" s="2">
        <f t="shared" si="15"/>
        <v>1224</v>
      </c>
      <c r="W106" s="2">
        <f t="shared" si="16"/>
        <v>68</v>
      </c>
    </row>
    <row r="107" spans="1:23" ht="12.75">
      <c r="A107">
        <v>1</v>
      </c>
      <c r="B107">
        <v>103</v>
      </c>
      <c r="C107" s="2">
        <f t="shared" si="20"/>
        <v>100.61538461538461</v>
      </c>
      <c r="D107" s="2">
        <f t="shared" si="21"/>
        <v>1.3846153846153846</v>
      </c>
      <c r="E107" s="2">
        <f t="shared" si="22"/>
        <v>10.061538461538461</v>
      </c>
      <c r="F107" s="2">
        <f t="shared" si="23"/>
        <v>0.13846153846153847</v>
      </c>
      <c r="G107" s="9">
        <f>_XLL.RISKOUTPUT(,"Contaminated food products during a shift",104)+D107/(C107+D107)</f>
        <v>0.013574660633484163</v>
      </c>
      <c r="H107" s="2">
        <f>IF(C107&lt;1,0,_XLL.RISKBINOMIAL(ROUND(C107,0),I107))</f>
        <v>0</v>
      </c>
      <c r="I107" s="8">
        <f t="shared" si="24"/>
        <v>5.569062148913506E-05</v>
      </c>
      <c r="J107" s="2">
        <f t="shared" si="17"/>
        <v>1220.7418090519864</v>
      </c>
      <c r="K107" s="2">
        <f t="shared" si="18"/>
        <v>3.2581909480136027</v>
      </c>
      <c r="L107" s="10">
        <f>_XLL.RISKOUTPUT(,"Contaminated food contact surfaces during a shift",104)+K107/(J107+K107)</f>
        <v>0.00266192070916144</v>
      </c>
      <c r="M107" s="2">
        <f>IF(J107&lt;1,0,_XLL.RISKBINOMIAL(ROUND(J107,0),N107))</f>
        <v>0</v>
      </c>
      <c r="N107" s="11">
        <f t="shared" si="25"/>
        <v>1.3308466217609727E-05</v>
      </c>
      <c r="O107" s="2">
        <f t="shared" si="26"/>
        <v>68</v>
      </c>
      <c r="P107" s="2">
        <f t="shared" si="27"/>
        <v>0</v>
      </c>
      <c r="Q107" s="10">
        <f>_XLL.RISKOUTPUT(,"Contaminated gloves during a shift",104)+P107/(O107+P107)</f>
        <v>0</v>
      </c>
      <c r="R107" s="2">
        <f>IF(O107&lt;1,0,_XLL.RISKBINOMIAL(ROUND(O107,0),S107))</f>
        <v>0</v>
      </c>
      <c r="S107" s="11">
        <f t="shared" si="19"/>
        <v>0.0002337817386286467</v>
      </c>
      <c r="U107" s="2">
        <f t="shared" si="14"/>
        <v>102</v>
      </c>
      <c r="V107" s="2">
        <f t="shared" si="15"/>
        <v>1224</v>
      </c>
      <c r="W107" s="2">
        <f t="shared" si="16"/>
        <v>68</v>
      </c>
    </row>
    <row r="108" spans="1:23" ht="12.75">
      <c r="A108">
        <v>1</v>
      </c>
      <c r="B108">
        <v>104</v>
      </c>
      <c r="C108" s="2">
        <f t="shared" si="20"/>
        <v>100.61538461538461</v>
      </c>
      <c r="D108" s="2">
        <f t="shared" si="21"/>
        <v>1.3846153846153846</v>
      </c>
      <c r="E108" s="2">
        <f t="shared" si="22"/>
        <v>10.061538461538461</v>
      </c>
      <c r="F108" s="2">
        <f t="shared" si="23"/>
        <v>0.13846153846153847</v>
      </c>
      <c r="G108" s="9">
        <f>_XLL.RISKOUTPUT(,"Contaminated food products during a shift",105)+D108/(C108+D108)</f>
        <v>0.013574660633484163</v>
      </c>
      <c r="H108" s="2">
        <f>IF(C108&lt;1,0,_XLL.RISKBINOMIAL(ROUND(C108,0),I108))</f>
        <v>0</v>
      </c>
      <c r="I108" s="8">
        <f t="shared" si="24"/>
        <v>5.569062148913506E-05</v>
      </c>
      <c r="J108" s="2">
        <f t="shared" si="17"/>
        <v>1220.7418090519864</v>
      </c>
      <c r="K108" s="2">
        <f t="shared" si="18"/>
        <v>3.2581909480136027</v>
      </c>
      <c r="L108" s="10">
        <f>_XLL.RISKOUTPUT(,"Contaminated food contact surfaces during a shift",105)+K108/(J108+K108)</f>
        <v>0.00266192070916144</v>
      </c>
      <c r="M108" s="2">
        <f>IF(J108&lt;1,0,_XLL.RISKBINOMIAL(ROUND(J108,0),N108))</f>
        <v>0</v>
      </c>
      <c r="N108" s="11">
        <f t="shared" si="25"/>
        <v>1.3308466217609727E-05</v>
      </c>
      <c r="O108" s="2">
        <f t="shared" si="26"/>
        <v>68</v>
      </c>
      <c r="P108" s="2">
        <f t="shared" si="27"/>
        <v>0</v>
      </c>
      <c r="Q108" s="10">
        <f>_XLL.RISKOUTPUT(,"Contaminated gloves during a shift",105)+P108/(O108+P108)</f>
        <v>0</v>
      </c>
      <c r="R108" s="2">
        <f>IF(O108&lt;1,0,_XLL.RISKBINOMIAL(ROUND(O108,0),S108))</f>
        <v>0</v>
      </c>
      <c r="S108" s="11">
        <f t="shared" si="19"/>
        <v>0.0002337817386286467</v>
      </c>
      <c r="U108" s="2">
        <f t="shared" si="14"/>
        <v>102</v>
      </c>
      <c r="V108" s="2">
        <f t="shared" si="15"/>
        <v>1224</v>
      </c>
      <c r="W108" s="2">
        <f t="shared" si="16"/>
        <v>68</v>
      </c>
    </row>
    <row r="109" spans="1:23" ht="12.75">
      <c r="A109">
        <v>1</v>
      </c>
      <c r="B109">
        <v>105</v>
      </c>
      <c r="C109" s="2">
        <f t="shared" si="20"/>
        <v>100.61538461538461</v>
      </c>
      <c r="D109" s="2">
        <f t="shared" si="21"/>
        <v>1.3846153846153846</v>
      </c>
      <c r="E109" s="2">
        <f t="shared" si="22"/>
        <v>10.061538461538461</v>
      </c>
      <c r="F109" s="2">
        <f t="shared" si="23"/>
        <v>0.13846153846153847</v>
      </c>
      <c r="G109" s="9">
        <f>_XLL.RISKOUTPUT(,"Contaminated food products during a shift",106)+D109/(C109+D109)</f>
        <v>0.013574660633484163</v>
      </c>
      <c r="H109" s="2">
        <f>IF(C109&lt;1,0,_XLL.RISKBINOMIAL(ROUND(C109,0),I109))</f>
        <v>0</v>
      </c>
      <c r="I109" s="8">
        <f t="shared" si="24"/>
        <v>5.569062148913506E-05</v>
      </c>
      <c r="J109" s="2">
        <f t="shared" si="17"/>
        <v>1220.7418090519864</v>
      </c>
      <c r="K109" s="2">
        <f t="shared" si="18"/>
        <v>3.2581909480136027</v>
      </c>
      <c r="L109" s="10">
        <f>_XLL.RISKOUTPUT(,"Contaminated food contact surfaces during a shift",106)+K109/(J109+K109)</f>
        <v>0.00266192070916144</v>
      </c>
      <c r="M109" s="2">
        <f>IF(J109&lt;1,0,_XLL.RISKBINOMIAL(ROUND(J109,0),N109))</f>
        <v>0</v>
      </c>
      <c r="N109" s="11">
        <f t="shared" si="25"/>
        <v>1.3308466217609727E-05</v>
      </c>
      <c r="O109" s="2">
        <f t="shared" si="26"/>
        <v>68</v>
      </c>
      <c r="P109" s="2">
        <f t="shared" si="27"/>
        <v>0</v>
      </c>
      <c r="Q109" s="10">
        <f>_XLL.RISKOUTPUT(,"Contaminated gloves during a shift",106)+P109/(O109+P109)</f>
        <v>0</v>
      </c>
      <c r="R109" s="2">
        <f>IF(O109&lt;1,0,_XLL.RISKBINOMIAL(ROUND(O109,0),S109))</f>
        <v>0</v>
      </c>
      <c r="S109" s="11">
        <f t="shared" si="19"/>
        <v>0.0002337817386286467</v>
      </c>
      <c r="U109" s="2">
        <f t="shared" si="14"/>
        <v>102</v>
      </c>
      <c r="V109" s="2">
        <f t="shared" si="15"/>
        <v>1224</v>
      </c>
      <c r="W109" s="2">
        <f t="shared" si="16"/>
        <v>68</v>
      </c>
    </row>
    <row r="110" spans="1:23" ht="12.75">
      <c r="A110">
        <v>1</v>
      </c>
      <c r="B110">
        <v>106</v>
      </c>
      <c r="C110" s="2">
        <f t="shared" si="20"/>
        <v>100.61538461538461</v>
      </c>
      <c r="D110" s="2">
        <f t="shared" si="21"/>
        <v>1.3846153846153846</v>
      </c>
      <c r="E110" s="2">
        <f t="shared" si="22"/>
        <v>10.061538461538461</v>
      </c>
      <c r="F110" s="2">
        <f t="shared" si="23"/>
        <v>0.13846153846153847</v>
      </c>
      <c r="G110" s="9">
        <f>_XLL.RISKOUTPUT(,"Contaminated food products during a shift",107)+D110/(C110+D110)</f>
        <v>0.013574660633484163</v>
      </c>
      <c r="H110" s="2">
        <f>IF(C110&lt;1,0,_XLL.RISKBINOMIAL(ROUND(C110,0),I110))</f>
        <v>0</v>
      </c>
      <c r="I110" s="8">
        <f t="shared" si="24"/>
        <v>5.569062148913506E-05</v>
      </c>
      <c r="J110" s="2">
        <f t="shared" si="17"/>
        <v>1220.7418090519864</v>
      </c>
      <c r="K110" s="2">
        <f t="shared" si="18"/>
        <v>3.2581909480136027</v>
      </c>
      <c r="L110" s="10">
        <f>_XLL.RISKOUTPUT(,"Contaminated food contact surfaces during a shift",107)+K110/(J110+K110)</f>
        <v>0.00266192070916144</v>
      </c>
      <c r="M110" s="2">
        <f>IF(J110&lt;1,0,_XLL.RISKBINOMIAL(ROUND(J110,0),N110))</f>
        <v>0</v>
      </c>
      <c r="N110" s="11">
        <f t="shared" si="25"/>
        <v>1.3308466217609727E-05</v>
      </c>
      <c r="O110" s="2">
        <f t="shared" si="26"/>
        <v>68</v>
      </c>
      <c r="P110" s="2">
        <f t="shared" si="27"/>
        <v>0</v>
      </c>
      <c r="Q110" s="10">
        <f>_XLL.RISKOUTPUT(,"Contaminated gloves during a shift",107)+P110/(O110+P110)</f>
        <v>0</v>
      </c>
      <c r="R110" s="2">
        <f>IF(O110&lt;1,0,_XLL.RISKBINOMIAL(ROUND(O110,0),S110))</f>
        <v>0</v>
      </c>
      <c r="S110" s="11">
        <f t="shared" si="19"/>
        <v>0.0002337817386286467</v>
      </c>
      <c r="U110" s="2">
        <f t="shared" si="14"/>
        <v>102</v>
      </c>
      <c r="V110" s="2">
        <f t="shared" si="15"/>
        <v>1224</v>
      </c>
      <c r="W110" s="2">
        <f t="shared" si="16"/>
        <v>68</v>
      </c>
    </row>
    <row r="111" spans="1:23" ht="12.75">
      <c r="A111">
        <v>1</v>
      </c>
      <c r="B111">
        <v>107</v>
      </c>
      <c r="C111" s="2">
        <f t="shared" si="20"/>
        <v>100.61538461538461</v>
      </c>
      <c r="D111" s="2">
        <f t="shared" si="21"/>
        <v>1.3846153846153846</v>
      </c>
      <c r="E111" s="2">
        <f t="shared" si="22"/>
        <v>10.061538461538461</v>
      </c>
      <c r="F111" s="2">
        <f t="shared" si="23"/>
        <v>0.13846153846153847</v>
      </c>
      <c r="G111" s="9">
        <f>_XLL.RISKOUTPUT(,"Contaminated food products during a shift",108)+D111/(C111+D111)</f>
        <v>0.013574660633484163</v>
      </c>
      <c r="H111" s="2">
        <f>IF(C111&lt;1,0,_XLL.RISKBINOMIAL(ROUND(C111,0),I111))</f>
        <v>0</v>
      </c>
      <c r="I111" s="8">
        <f t="shared" si="24"/>
        <v>5.569062148913506E-05</v>
      </c>
      <c r="J111" s="2">
        <f t="shared" si="17"/>
        <v>1220.7418090519864</v>
      </c>
      <c r="K111" s="2">
        <f t="shared" si="18"/>
        <v>3.2581909480136027</v>
      </c>
      <c r="L111" s="10">
        <f>_XLL.RISKOUTPUT(,"Contaminated food contact surfaces during a shift",108)+K111/(J111+K111)</f>
        <v>0.00266192070916144</v>
      </c>
      <c r="M111" s="2">
        <f>IF(J111&lt;1,0,_XLL.RISKBINOMIAL(ROUND(J111,0),N111))</f>
        <v>0</v>
      </c>
      <c r="N111" s="11">
        <f t="shared" si="25"/>
        <v>1.3308466217609727E-05</v>
      </c>
      <c r="O111" s="2">
        <f t="shared" si="26"/>
        <v>68</v>
      </c>
      <c r="P111" s="2">
        <f t="shared" si="27"/>
        <v>0</v>
      </c>
      <c r="Q111" s="10">
        <f>_XLL.RISKOUTPUT(,"Contaminated gloves during a shift",108)+P111/(O111+P111)</f>
        <v>0</v>
      </c>
      <c r="R111" s="2">
        <f>IF(O111&lt;1,0,_XLL.RISKBINOMIAL(ROUND(O111,0),S111))</f>
        <v>0</v>
      </c>
      <c r="S111" s="11">
        <f t="shared" si="19"/>
        <v>0.0002337817386286467</v>
      </c>
      <c r="U111" s="2">
        <f t="shared" si="14"/>
        <v>102</v>
      </c>
      <c r="V111" s="2">
        <f t="shared" si="15"/>
        <v>1224</v>
      </c>
      <c r="W111" s="2">
        <f t="shared" si="16"/>
        <v>68</v>
      </c>
    </row>
    <row r="112" spans="1:23" ht="12.75">
      <c r="A112">
        <v>1</v>
      </c>
      <c r="B112">
        <v>108</v>
      </c>
      <c r="C112" s="2">
        <f t="shared" si="20"/>
        <v>100.61538461538461</v>
      </c>
      <c r="D112" s="2">
        <f t="shared" si="21"/>
        <v>1.3846153846153846</v>
      </c>
      <c r="E112" s="2">
        <f t="shared" si="22"/>
        <v>10.061538461538461</v>
      </c>
      <c r="F112" s="2">
        <f t="shared" si="23"/>
        <v>0.13846153846153847</v>
      </c>
      <c r="G112" s="9">
        <f>_XLL.RISKOUTPUT(,"Contaminated food products during a shift",109)+D112/(C112+D112)</f>
        <v>0.013574660633484163</v>
      </c>
      <c r="H112" s="2">
        <f>IF(C112&lt;1,0,_XLL.RISKBINOMIAL(ROUND(C112,0),I112))</f>
        <v>0</v>
      </c>
      <c r="I112" s="8">
        <f t="shared" si="24"/>
        <v>5.569062148913506E-05</v>
      </c>
      <c r="J112" s="2">
        <f t="shared" si="17"/>
        <v>1220.7418090519864</v>
      </c>
      <c r="K112" s="2">
        <f t="shared" si="18"/>
        <v>3.2581909480136027</v>
      </c>
      <c r="L112" s="10">
        <f>_XLL.RISKOUTPUT(,"Contaminated food contact surfaces during a shift",109)+K112/(J112+K112)</f>
        <v>0.00266192070916144</v>
      </c>
      <c r="M112" s="2">
        <f>IF(J112&lt;1,0,_XLL.RISKBINOMIAL(ROUND(J112,0),N112))</f>
        <v>0</v>
      </c>
      <c r="N112" s="11">
        <f t="shared" si="25"/>
        <v>1.3308466217609727E-05</v>
      </c>
      <c r="O112" s="2">
        <f t="shared" si="26"/>
        <v>68</v>
      </c>
      <c r="P112" s="2">
        <f t="shared" si="27"/>
        <v>0</v>
      </c>
      <c r="Q112" s="10">
        <f>_XLL.RISKOUTPUT(,"Contaminated gloves during a shift",109)+P112/(O112+P112)</f>
        <v>0</v>
      </c>
      <c r="R112" s="2">
        <f>IF(O112&lt;1,0,_XLL.RISKBINOMIAL(ROUND(O112,0),S112))</f>
        <v>0</v>
      </c>
      <c r="S112" s="11">
        <f t="shared" si="19"/>
        <v>0.0002337817386286467</v>
      </c>
      <c r="U112" s="2">
        <f t="shared" si="14"/>
        <v>102</v>
      </c>
      <c r="V112" s="2">
        <f t="shared" si="15"/>
        <v>1224</v>
      </c>
      <c r="W112" s="2">
        <f t="shared" si="16"/>
        <v>68</v>
      </c>
    </row>
    <row r="113" spans="1:23" ht="12.75">
      <c r="A113">
        <v>1</v>
      </c>
      <c r="B113">
        <v>109</v>
      </c>
      <c r="C113" s="2">
        <f t="shared" si="20"/>
        <v>100.61538461538461</v>
      </c>
      <c r="D113" s="2">
        <f t="shared" si="21"/>
        <v>1.3846153846153846</v>
      </c>
      <c r="E113" s="2">
        <f t="shared" si="22"/>
        <v>10.061538461538461</v>
      </c>
      <c r="F113" s="2">
        <f t="shared" si="23"/>
        <v>0.13846153846153847</v>
      </c>
      <c r="G113" s="9">
        <f>_XLL.RISKOUTPUT(,"Contaminated food products during a shift",110)+D113/(C113+D113)</f>
        <v>0.013574660633484163</v>
      </c>
      <c r="H113" s="2">
        <f>IF(C113&lt;1,0,_XLL.RISKBINOMIAL(ROUND(C113,0),I113))</f>
        <v>0</v>
      </c>
      <c r="I113" s="8">
        <f t="shared" si="24"/>
        <v>5.569062148913506E-05</v>
      </c>
      <c r="J113" s="2">
        <f t="shared" si="17"/>
        <v>1220.7418090519864</v>
      </c>
      <c r="K113" s="2">
        <f t="shared" si="18"/>
        <v>3.2581909480136027</v>
      </c>
      <c r="L113" s="10">
        <f>_XLL.RISKOUTPUT(,"Contaminated food contact surfaces during a shift",110)+K113/(J113+K113)</f>
        <v>0.00266192070916144</v>
      </c>
      <c r="M113" s="2">
        <f>IF(J113&lt;1,0,_XLL.RISKBINOMIAL(ROUND(J113,0),N113))</f>
        <v>0</v>
      </c>
      <c r="N113" s="11">
        <f t="shared" si="25"/>
        <v>1.3308466217609727E-05</v>
      </c>
      <c r="O113" s="2">
        <f t="shared" si="26"/>
        <v>68</v>
      </c>
      <c r="P113" s="2">
        <f t="shared" si="27"/>
        <v>0</v>
      </c>
      <c r="Q113" s="10">
        <f>_XLL.RISKOUTPUT(,"Contaminated gloves during a shift",110)+P113/(O113+P113)</f>
        <v>0</v>
      </c>
      <c r="R113" s="2">
        <f>IF(O113&lt;1,0,_XLL.RISKBINOMIAL(ROUND(O113,0),S113))</f>
        <v>0</v>
      </c>
      <c r="S113" s="11">
        <f t="shared" si="19"/>
        <v>0.0002337817386286467</v>
      </c>
      <c r="U113" s="2">
        <f t="shared" si="14"/>
        <v>102</v>
      </c>
      <c r="V113" s="2">
        <f t="shared" si="15"/>
        <v>1224</v>
      </c>
      <c r="W113" s="2">
        <f t="shared" si="16"/>
        <v>68</v>
      </c>
    </row>
    <row r="114" spans="1:23" ht="12.75">
      <c r="A114">
        <v>1</v>
      </c>
      <c r="B114">
        <v>110</v>
      </c>
      <c r="C114" s="2">
        <f t="shared" si="20"/>
        <v>100.61538461538461</v>
      </c>
      <c r="D114" s="2">
        <f t="shared" si="21"/>
        <v>1.3846153846153846</v>
      </c>
      <c r="E114" s="2">
        <f t="shared" si="22"/>
        <v>10.061538461538461</v>
      </c>
      <c r="F114" s="2">
        <f t="shared" si="23"/>
        <v>0.13846153846153847</v>
      </c>
      <c r="G114" s="9">
        <f>_XLL.RISKOUTPUT(,"Contaminated food products during a shift",111)+D114/(C114+D114)</f>
        <v>0.013574660633484163</v>
      </c>
      <c r="H114" s="2">
        <f>IF(C114&lt;1,0,_XLL.RISKBINOMIAL(ROUND(C114,0),I114))</f>
        <v>0</v>
      </c>
      <c r="I114" s="8">
        <f t="shared" si="24"/>
        <v>5.569062148913506E-05</v>
      </c>
      <c r="J114" s="2">
        <f t="shared" si="17"/>
        <v>1220.7418090519864</v>
      </c>
      <c r="K114" s="2">
        <f t="shared" si="18"/>
        <v>3.2581909480136027</v>
      </c>
      <c r="L114" s="10">
        <f>_XLL.RISKOUTPUT(,"Contaminated food contact surfaces during a shift",111)+K114/(J114+K114)</f>
        <v>0.00266192070916144</v>
      </c>
      <c r="M114" s="2">
        <f>IF(J114&lt;1,0,_XLL.RISKBINOMIAL(ROUND(J114,0),N114))</f>
        <v>0</v>
      </c>
      <c r="N114" s="11">
        <f t="shared" si="25"/>
        <v>1.3308466217609727E-05</v>
      </c>
      <c r="O114" s="2">
        <f t="shared" si="26"/>
        <v>68</v>
      </c>
      <c r="P114" s="2">
        <f t="shared" si="27"/>
        <v>0</v>
      </c>
      <c r="Q114" s="10">
        <f>_XLL.RISKOUTPUT(,"Contaminated gloves during a shift",111)+P114/(O114+P114)</f>
        <v>0</v>
      </c>
      <c r="R114" s="2">
        <f>IF(O114&lt;1,0,_XLL.RISKBINOMIAL(ROUND(O114,0),S114))</f>
        <v>0</v>
      </c>
      <c r="S114" s="11">
        <f t="shared" si="19"/>
        <v>0.0002337817386286467</v>
      </c>
      <c r="U114" s="2">
        <f t="shared" si="14"/>
        <v>102</v>
      </c>
      <c r="V114" s="2">
        <f t="shared" si="15"/>
        <v>1224</v>
      </c>
      <c r="W114" s="2">
        <f t="shared" si="16"/>
        <v>68</v>
      </c>
    </row>
    <row r="115" spans="1:23" ht="12.75">
      <c r="A115">
        <v>1</v>
      </c>
      <c r="B115">
        <v>111</v>
      </c>
      <c r="C115" s="2">
        <f t="shared" si="20"/>
        <v>100.61538461538461</v>
      </c>
      <c r="D115" s="2">
        <f t="shared" si="21"/>
        <v>1.3846153846153846</v>
      </c>
      <c r="E115" s="2">
        <f t="shared" si="22"/>
        <v>10.061538461538461</v>
      </c>
      <c r="F115" s="2">
        <f t="shared" si="23"/>
        <v>0.13846153846153847</v>
      </c>
      <c r="G115" s="9">
        <f>_XLL.RISKOUTPUT(,"Contaminated food products during a shift",112)+D115/(C115+D115)</f>
        <v>0.013574660633484163</v>
      </c>
      <c r="H115" s="2">
        <f>IF(C115&lt;1,0,_XLL.RISKBINOMIAL(ROUND(C115,0),I115))</f>
        <v>0</v>
      </c>
      <c r="I115" s="8">
        <f t="shared" si="24"/>
        <v>5.569062148913506E-05</v>
      </c>
      <c r="J115" s="2">
        <f t="shared" si="17"/>
        <v>1220.7418090519864</v>
      </c>
      <c r="K115" s="2">
        <f t="shared" si="18"/>
        <v>3.2581909480136027</v>
      </c>
      <c r="L115" s="10">
        <f>_XLL.RISKOUTPUT(,"Contaminated food contact surfaces during a shift",112)+K115/(J115+K115)</f>
        <v>0.00266192070916144</v>
      </c>
      <c r="M115" s="2">
        <f>IF(J115&lt;1,0,_XLL.RISKBINOMIAL(ROUND(J115,0),N115))</f>
        <v>0</v>
      </c>
      <c r="N115" s="11">
        <f t="shared" si="25"/>
        <v>1.3308466217609727E-05</v>
      </c>
      <c r="O115" s="2">
        <f t="shared" si="26"/>
        <v>68</v>
      </c>
      <c r="P115" s="2">
        <f t="shared" si="27"/>
        <v>0</v>
      </c>
      <c r="Q115" s="10">
        <f>_XLL.RISKOUTPUT(,"Contaminated gloves during a shift",112)+P115/(O115+P115)</f>
        <v>0</v>
      </c>
      <c r="R115" s="2">
        <f>IF(O115&lt;1,0,_XLL.RISKBINOMIAL(ROUND(O115,0),S115))</f>
        <v>0</v>
      </c>
      <c r="S115" s="11">
        <f t="shared" si="19"/>
        <v>0.0002337817386286467</v>
      </c>
      <c r="U115" s="2">
        <f t="shared" si="14"/>
        <v>102</v>
      </c>
      <c r="V115" s="2">
        <f t="shared" si="15"/>
        <v>1224</v>
      </c>
      <c r="W115" s="2">
        <f t="shared" si="16"/>
        <v>68</v>
      </c>
    </row>
    <row r="116" spans="1:23" ht="12.75">
      <c r="A116">
        <v>1</v>
      </c>
      <c r="B116">
        <v>112</v>
      </c>
      <c r="C116" s="2">
        <f t="shared" si="20"/>
        <v>100.61538461538461</v>
      </c>
      <c r="D116" s="2">
        <f t="shared" si="21"/>
        <v>1.3846153846153846</v>
      </c>
      <c r="E116" s="2">
        <f t="shared" si="22"/>
        <v>10.061538461538461</v>
      </c>
      <c r="F116" s="2">
        <f t="shared" si="23"/>
        <v>0.13846153846153847</v>
      </c>
      <c r="G116" s="9">
        <f>_XLL.RISKOUTPUT(,"Contaminated food products during a shift",113)+D116/(C116+D116)</f>
        <v>0.013574660633484163</v>
      </c>
      <c r="H116" s="2">
        <f>IF(C116&lt;1,0,_XLL.RISKBINOMIAL(ROUND(C116,0),I116))</f>
        <v>0</v>
      </c>
      <c r="I116" s="8">
        <f t="shared" si="24"/>
        <v>5.569062148913506E-05</v>
      </c>
      <c r="J116" s="2">
        <f t="shared" si="17"/>
        <v>1220.7418090519864</v>
      </c>
      <c r="K116" s="2">
        <f t="shared" si="18"/>
        <v>3.2581909480136027</v>
      </c>
      <c r="L116" s="10">
        <f>_XLL.RISKOUTPUT(,"Contaminated food contact surfaces during a shift",113)+K116/(J116+K116)</f>
        <v>0.00266192070916144</v>
      </c>
      <c r="M116" s="2">
        <f>IF(J116&lt;1,0,_XLL.RISKBINOMIAL(ROUND(J116,0),N116))</f>
        <v>0</v>
      </c>
      <c r="N116" s="11">
        <f t="shared" si="25"/>
        <v>1.3308466217609727E-05</v>
      </c>
      <c r="O116" s="2">
        <f t="shared" si="26"/>
        <v>68</v>
      </c>
      <c r="P116" s="2">
        <f t="shared" si="27"/>
        <v>0</v>
      </c>
      <c r="Q116" s="10">
        <f>_XLL.RISKOUTPUT(,"Contaminated gloves during a shift",113)+P116/(O116+P116)</f>
        <v>0</v>
      </c>
      <c r="R116" s="2">
        <f>IF(O116&lt;1,0,_XLL.RISKBINOMIAL(ROUND(O116,0),S116))</f>
        <v>0</v>
      </c>
      <c r="S116" s="11">
        <f t="shared" si="19"/>
        <v>0.0002337817386286467</v>
      </c>
      <c r="U116" s="2">
        <f t="shared" si="14"/>
        <v>102</v>
      </c>
      <c r="V116" s="2">
        <f t="shared" si="15"/>
        <v>1224</v>
      </c>
      <c r="W116" s="2">
        <f t="shared" si="16"/>
        <v>68</v>
      </c>
    </row>
    <row r="117" spans="1:23" ht="12.75">
      <c r="A117">
        <v>1</v>
      </c>
      <c r="B117">
        <v>113</v>
      </c>
      <c r="C117" s="2">
        <f t="shared" si="20"/>
        <v>100.61538461538461</v>
      </c>
      <c r="D117" s="2">
        <f t="shared" si="21"/>
        <v>1.3846153846153846</v>
      </c>
      <c r="E117" s="2">
        <f t="shared" si="22"/>
        <v>10.061538461538461</v>
      </c>
      <c r="F117" s="2">
        <f t="shared" si="23"/>
        <v>0.13846153846153847</v>
      </c>
      <c r="G117" s="9">
        <f>_XLL.RISKOUTPUT(,"Contaminated food products during a shift",114)+D117/(C117+D117)</f>
        <v>0.013574660633484163</v>
      </c>
      <c r="H117" s="2">
        <f>IF(C117&lt;1,0,_XLL.RISKBINOMIAL(ROUND(C117,0),I117))</f>
        <v>0</v>
      </c>
      <c r="I117" s="8">
        <f t="shared" si="24"/>
        <v>5.569062148913506E-05</v>
      </c>
      <c r="J117" s="2">
        <f t="shared" si="17"/>
        <v>1220.7418090519864</v>
      </c>
      <c r="K117" s="2">
        <f t="shared" si="18"/>
        <v>3.2581909480136027</v>
      </c>
      <c r="L117" s="10">
        <f>_XLL.RISKOUTPUT(,"Contaminated food contact surfaces during a shift",114)+K117/(J117+K117)</f>
        <v>0.00266192070916144</v>
      </c>
      <c r="M117" s="2">
        <f>IF(J117&lt;1,0,_XLL.RISKBINOMIAL(ROUND(J117,0),N117))</f>
        <v>0</v>
      </c>
      <c r="N117" s="11">
        <f t="shared" si="25"/>
        <v>1.3308466217609727E-05</v>
      </c>
      <c r="O117" s="2">
        <f t="shared" si="26"/>
        <v>68</v>
      </c>
      <c r="P117" s="2">
        <f t="shared" si="27"/>
        <v>0</v>
      </c>
      <c r="Q117" s="10">
        <f>_XLL.RISKOUTPUT(,"Contaminated gloves during a shift",114)+P117/(O117+P117)</f>
        <v>0</v>
      </c>
      <c r="R117" s="2">
        <f>IF(O117&lt;1,0,_XLL.RISKBINOMIAL(ROUND(O117,0),S117))</f>
        <v>0</v>
      </c>
      <c r="S117" s="11">
        <f t="shared" si="19"/>
        <v>0.0002337817386286467</v>
      </c>
      <c r="U117" s="2">
        <f t="shared" si="14"/>
        <v>102</v>
      </c>
      <c r="V117" s="2">
        <f t="shared" si="15"/>
        <v>1224</v>
      </c>
      <c r="W117" s="2">
        <f t="shared" si="16"/>
        <v>68</v>
      </c>
    </row>
    <row r="118" spans="1:23" ht="12.75">
      <c r="A118">
        <v>1</v>
      </c>
      <c r="B118">
        <v>114</v>
      </c>
      <c r="C118" s="2">
        <f t="shared" si="20"/>
        <v>100.61538461538461</v>
      </c>
      <c r="D118" s="2">
        <f t="shared" si="21"/>
        <v>1.3846153846153846</v>
      </c>
      <c r="E118" s="2">
        <f t="shared" si="22"/>
        <v>10.061538461538461</v>
      </c>
      <c r="F118" s="2">
        <f t="shared" si="23"/>
        <v>0.13846153846153847</v>
      </c>
      <c r="G118" s="9">
        <f>_XLL.RISKOUTPUT(,"Contaminated food products during a shift",115)+D118/(C118+D118)</f>
        <v>0.013574660633484163</v>
      </c>
      <c r="H118" s="2">
        <f>IF(C118&lt;1,0,_XLL.RISKBINOMIAL(ROUND(C118,0),I118))</f>
        <v>0</v>
      </c>
      <c r="I118" s="8">
        <f t="shared" si="24"/>
        <v>5.569062148913506E-05</v>
      </c>
      <c r="J118" s="2">
        <f t="shared" si="17"/>
        <v>1220.7418090519864</v>
      </c>
      <c r="K118" s="2">
        <f t="shared" si="18"/>
        <v>3.2581909480136027</v>
      </c>
      <c r="L118" s="10">
        <f>_XLL.RISKOUTPUT(,"Contaminated food contact surfaces during a shift",115)+K118/(J118+K118)</f>
        <v>0.00266192070916144</v>
      </c>
      <c r="M118" s="2">
        <f>IF(J118&lt;1,0,_XLL.RISKBINOMIAL(ROUND(J118,0),N118))</f>
        <v>0</v>
      </c>
      <c r="N118" s="11">
        <f t="shared" si="25"/>
        <v>1.3308466217609727E-05</v>
      </c>
      <c r="O118" s="2">
        <f t="shared" si="26"/>
        <v>68</v>
      </c>
      <c r="P118" s="2">
        <f t="shared" si="27"/>
        <v>0</v>
      </c>
      <c r="Q118" s="10">
        <f>_XLL.RISKOUTPUT(,"Contaminated gloves during a shift",115)+P118/(O118+P118)</f>
        <v>0</v>
      </c>
      <c r="R118" s="2">
        <f>IF(O118&lt;1,0,_XLL.RISKBINOMIAL(ROUND(O118,0),S118))</f>
        <v>0</v>
      </c>
      <c r="S118" s="11">
        <f t="shared" si="19"/>
        <v>0.0002337817386286467</v>
      </c>
      <c r="U118" s="2">
        <f t="shared" si="14"/>
        <v>102</v>
      </c>
      <c r="V118" s="2">
        <f t="shared" si="15"/>
        <v>1224</v>
      </c>
      <c r="W118" s="2">
        <f t="shared" si="16"/>
        <v>68</v>
      </c>
    </row>
    <row r="119" spans="1:23" ht="12.75">
      <c r="A119">
        <v>1</v>
      </c>
      <c r="B119">
        <v>115</v>
      </c>
      <c r="C119" s="2">
        <f t="shared" si="20"/>
        <v>100.61538461538461</v>
      </c>
      <c r="D119" s="2">
        <f t="shared" si="21"/>
        <v>1.3846153846153846</v>
      </c>
      <c r="E119" s="2">
        <f t="shared" si="22"/>
        <v>10.061538461538461</v>
      </c>
      <c r="F119" s="2">
        <f t="shared" si="23"/>
        <v>0.13846153846153847</v>
      </c>
      <c r="G119" s="9">
        <f>_XLL.RISKOUTPUT(,"Contaminated food products during a shift",116)+D119/(C119+D119)</f>
        <v>0.013574660633484163</v>
      </c>
      <c r="H119" s="2">
        <f>IF(C119&lt;1,0,_XLL.RISKBINOMIAL(ROUND(C119,0),I119))</f>
        <v>0</v>
      </c>
      <c r="I119" s="8">
        <f t="shared" si="24"/>
        <v>5.569062148913506E-05</v>
      </c>
      <c r="J119" s="2">
        <f t="shared" si="17"/>
        <v>1220.7418090519864</v>
      </c>
      <c r="K119" s="2">
        <f t="shared" si="18"/>
        <v>3.2581909480136027</v>
      </c>
      <c r="L119" s="10">
        <f>_XLL.RISKOUTPUT(,"Contaminated food contact surfaces during a shift",116)+K119/(J119+K119)</f>
        <v>0.00266192070916144</v>
      </c>
      <c r="M119" s="2">
        <f>IF(J119&lt;1,0,_XLL.RISKBINOMIAL(ROUND(J119,0),N119))</f>
        <v>0</v>
      </c>
      <c r="N119" s="11">
        <f t="shared" si="25"/>
        <v>1.3308466217609727E-05</v>
      </c>
      <c r="O119" s="2">
        <f t="shared" si="26"/>
        <v>68</v>
      </c>
      <c r="P119" s="2">
        <f t="shared" si="27"/>
        <v>0</v>
      </c>
      <c r="Q119" s="10">
        <f>_XLL.RISKOUTPUT(,"Contaminated gloves during a shift",116)+P119/(O119+P119)</f>
        <v>0</v>
      </c>
      <c r="R119" s="2">
        <f>IF(O119&lt;1,0,_XLL.RISKBINOMIAL(ROUND(O119,0),S119))</f>
        <v>0</v>
      </c>
      <c r="S119" s="11">
        <f t="shared" si="19"/>
        <v>0.0002337817386286467</v>
      </c>
      <c r="U119" s="2">
        <f t="shared" si="14"/>
        <v>102</v>
      </c>
      <c r="V119" s="2">
        <f t="shared" si="15"/>
        <v>1224</v>
      </c>
      <c r="W119" s="2">
        <f t="shared" si="16"/>
        <v>68</v>
      </c>
    </row>
    <row r="120" spans="1:23" ht="12.75">
      <c r="A120">
        <v>1</v>
      </c>
      <c r="B120">
        <v>116</v>
      </c>
      <c r="C120" s="2">
        <f t="shared" si="20"/>
        <v>100.61538461538461</v>
      </c>
      <c r="D120" s="2">
        <f t="shared" si="21"/>
        <v>1.3846153846153846</v>
      </c>
      <c r="E120" s="2">
        <f t="shared" si="22"/>
        <v>10.061538461538461</v>
      </c>
      <c r="F120" s="2">
        <f t="shared" si="23"/>
        <v>0.13846153846153847</v>
      </c>
      <c r="G120" s="9">
        <f>_XLL.RISKOUTPUT(,"Contaminated food products during a shift",117)+D120/(C120+D120)</f>
        <v>0.013574660633484163</v>
      </c>
      <c r="H120" s="2">
        <f>IF(C120&lt;1,0,_XLL.RISKBINOMIAL(ROUND(C120,0),I120))</f>
        <v>0</v>
      </c>
      <c r="I120" s="8">
        <f t="shared" si="24"/>
        <v>5.569062148913506E-05</v>
      </c>
      <c r="J120" s="2">
        <f t="shared" si="17"/>
        <v>1220.7418090519864</v>
      </c>
      <c r="K120" s="2">
        <f t="shared" si="18"/>
        <v>3.2581909480136027</v>
      </c>
      <c r="L120" s="10">
        <f>_XLL.RISKOUTPUT(,"Contaminated food contact surfaces during a shift",117)+K120/(J120+K120)</f>
        <v>0.00266192070916144</v>
      </c>
      <c r="M120" s="2">
        <f>IF(J120&lt;1,0,_XLL.RISKBINOMIAL(ROUND(J120,0),N120))</f>
        <v>0</v>
      </c>
      <c r="N120" s="11">
        <f t="shared" si="25"/>
        <v>1.3308466217609727E-05</v>
      </c>
      <c r="O120" s="2">
        <f t="shared" si="26"/>
        <v>68</v>
      </c>
      <c r="P120" s="2">
        <f t="shared" si="27"/>
        <v>0</v>
      </c>
      <c r="Q120" s="10">
        <f>_XLL.RISKOUTPUT(,"Contaminated gloves during a shift",117)+P120/(O120+P120)</f>
        <v>0</v>
      </c>
      <c r="R120" s="2">
        <f>IF(O120&lt;1,0,_XLL.RISKBINOMIAL(ROUND(O120,0),S120))</f>
        <v>0</v>
      </c>
      <c r="S120" s="11">
        <f t="shared" si="19"/>
        <v>0.0002337817386286467</v>
      </c>
      <c r="U120" s="2">
        <f t="shared" si="14"/>
        <v>102</v>
      </c>
      <c r="V120" s="2">
        <f t="shared" si="15"/>
        <v>1224</v>
      </c>
      <c r="W120" s="2">
        <f t="shared" si="16"/>
        <v>68</v>
      </c>
    </row>
    <row r="121" spans="1:23" ht="12.75">
      <c r="A121">
        <v>1</v>
      </c>
      <c r="B121">
        <v>117</v>
      </c>
      <c r="C121" s="2">
        <f t="shared" si="20"/>
        <v>100.61538461538461</v>
      </c>
      <c r="D121" s="2">
        <f t="shared" si="21"/>
        <v>1.3846153846153846</v>
      </c>
      <c r="E121" s="2">
        <f t="shared" si="22"/>
        <v>10.061538461538461</v>
      </c>
      <c r="F121" s="2">
        <f t="shared" si="23"/>
        <v>0.13846153846153847</v>
      </c>
      <c r="G121" s="9">
        <f>_XLL.RISKOUTPUT(,"Contaminated food products during a shift",118)+D121/(C121+D121)</f>
        <v>0.013574660633484163</v>
      </c>
      <c r="H121" s="2">
        <f>IF(C121&lt;1,0,_XLL.RISKBINOMIAL(ROUND(C121,0),I121))</f>
        <v>0</v>
      </c>
      <c r="I121" s="8">
        <f t="shared" si="24"/>
        <v>5.569062148913506E-05</v>
      </c>
      <c r="J121" s="2">
        <f t="shared" si="17"/>
        <v>1220.7418090519864</v>
      </c>
      <c r="K121" s="2">
        <f t="shared" si="18"/>
        <v>3.2581909480136027</v>
      </c>
      <c r="L121" s="10">
        <f>_XLL.RISKOUTPUT(,"Contaminated food contact surfaces during a shift",118)+K121/(J121+K121)</f>
        <v>0.00266192070916144</v>
      </c>
      <c r="M121" s="2">
        <f>IF(J121&lt;1,0,_XLL.RISKBINOMIAL(ROUND(J121,0),N121))</f>
        <v>0</v>
      </c>
      <c r="N121" s="11">
        <f t="shared" si="25"/>
        <v>1.3308466217609727E-05</v>
      </c>
      <c r="O121" s="2">
        <f t="shared" si="26"/>
        <v>68</v>
      </c>
      <c r="P121" s="2">
        <f t="shared" si="27"/>
        <v>0</v>
      </c>
      <c r="Q121" s="10">
        <f>_XLL.RISKOUTPUT(,"Contaminated gloves during a shift",118)+P121/(O121+P121)</f>
        <v>0</v>
      </c>
      <c r="R121" s="2">
        <f>IF(O121&lt;1,0,_XLL.RISKBINOMIAL(ROUND(O121,0),S121))</f>
        <v>0</v>
      </c>
      <c r="S121" s="11">
        <f t="shared" si="19"/>
        <v>0.0002337817386286467</v>
      </c>
      <c r="U121" s="2">
        <f t="shared" si="14"/>
        <v>102</v>
      </c>
      <c r="V121" s="2">
        <f t="shared" si="15"/>
        <v>1224</v>
      </c>
      <c r="W121" s="2">
        <f t="shared" si="16"/>
        <v>68</v>
      </c>
    </row>
    <row r="122" spans="1:23" ht="12.75">
      <c r="A122">
        <v>1</v>
      </c>
      <c r="B122">
        <v>118</v>
      </c>
      <c r="C122" s="2">
        <f t="shared" si="20"/>
        <v>100.61538461538461</v>
      </c>
      <c r="D122" s="2">
        <f t="shared" si="21"/>
        <v>1.3846153846153846</v>
      </c>
      <c r="E122" s="2">
        <f t="shared" si="22"/>
        <v>10.061538461538461</v>
      </c>
      <c r="F122" s="2">
        <f t="shared" si="23"/>
        <v>0.13846153846153847</v>
      </c>
      <c r="G122" s="9">
        <f>_XLL.RISKOUTPUT(,"Contaminated food products during a shift",119)+D122/(C122+D122)</f>
        <v>0.013574660633484163</v>
      </c>
      <c r="H122" s="2">
        <f>IF(C122&lt;1,0,_XLL.RISKBINOMIAL(ROUND(C122,0),I122))</f>
        <v>0</v>
      </c>
      <c r="I122" s="8">
        <f t="shared" si="24"/>
        <v>5.569062148913506E-05</v>
      </c>
      <c r="J122" s="2">
        <f t="shared" si="17"/>
        <v>1220.7418090519864</v>
      </c>
      <c r="K122" s="2">
        <f t="shared" si="18"/>
        <v>3.2581909480136027</v>
      </c>
      <c r="L122" s="10">
        <f>_XLL.RISKOUTPUT(,"Contaminated food contact surfaces during a shift",119)+K122/(J122+K122)</f>
        <v>0.00266192070916144</v>
      </c>
      <c r="M122" s="2">
        <f>IF(J122&lt;1,0,_XLL.RISKBINOMIAL(ROUND(J122,0),N122))</f>
        <v>0</v>
      </c>
      <c r="N122" s="11">
        <f t="shared" si="25"/>
        <v>1.3308466217609727E-05</v>
      </c>
      <c r="O122" s="2">
        <f t="shared" si="26"/>
        <v>68</v>
      </c>
      <c r="P122" s="2">
        <f t="shared" si="27"/>
        <v>0</v>
      </c>
      <c r="Q122" s="10">
        <f>_XLL.RISKOUTPUT(,"Contaminated gloves during a shift",119)+P122/(O122+P122)</f>
        <v>0</v>
      </c>
      <c r="R122" s="2">
        <f>IF(O122&lt;1,0,_XLL.RISKBINOMIAL(ROUND(O122,0),S122))</f>
        <v>0</v>
      </c>
      <c r="S122" s="11">
        <f t="shared" si="19"/>
        <v>0.0002337817386286467</v>
      </c>
      <c r="U122" s="2">
        <f t="shared" si="14"/>
        <v>102</v>
      </c>
      <c r="V122" s="2">
        <f t="shared" si="15"/>
        <v>1224</v>
      </c>
      <c r="W122" s="2">
        <f t="shared" si="16"/>
        <v>68</v>
      </c>
    </row>
    <row r="123" spans="1:23" ht="12.75">
      <c r="A123">
        <v>1</v>
      </c>
      <c r="B123">
        <v>119</v>
      </c>
      <c r="C123" s="2">
        <f t="shared" si="20"/>
        <v>100.61538461538461</v>
      </c>
      <c r="D123" s="2">
        <f t="shared" si="21"/>
        <v>1.3846153846153846</v>
      </c>
      <c r="E123" s="2">
        <f t="shared" si="22"/>
        <v>10.061538461538461</v>
      </c>
      <c r="F123" s="2">
        <f t="shared" si="23"/>
        <v>0.13846153846153847</v>
      </c>
      <c r="G123" s="9">
        <f>_XLL.RISKOUTPUT(,"Contaminated food products during a shift",120)+D123/(C123+D123)</f>
        <v>0.013574660633484163</v>
      </c>
      <c r="H123" s="2">
        <f>IF(C123&lt;1,0,_XLL.RISKBINOMIAL(ROUND(C123,0),I123))</f>
        <v>0</v>
      </c>
      <c r="I123" s="8">
        <f t="shared" si="24"/>
        <v>5.569062148913506E-05</v>
      </c>
      <c r="J123" s="2">
        <f t="shared" si="17"/>
        <v>1220.7418090519864</v>
      </c>
      <c r="K123" s="2">
        <f t="shared" si="18"/>
        <v>3.2581909480136027</v>
      </c>
      <c r="L123" s="10">
        <f>_XLL.RISKOUTPUT(,"Contaminated food contact surfaces during a shift",120)+K123/(J123+K123)</f>
        <v>0.00266192070916144</v>
      </c>
      <c r="M123" s="2">
        <f>IF(J123&lt;1,0,_XLL.RISKBINOMIAL(ROUND(J123,0),N123))</f>
        <v>0</v>
      </c>
      <c r="N123" s="11">
        <f t="shared" si="25"/>
        <v>1.3308466217609727E-05</v>
      </c>
      <c r="O123" s="2">
        <f t="shared" si="26"/>
        <v>68</v>
      </c>
      <c r="P123" s="2">
        <f t="shared" si="27"/>
        <v>0</v>
      </c>
      <c r="Q123" s="10">
        <f>_XLL.RISKOUTPUT(,"Contaminated gloves during a shift",120)+P123/(O123+P123)</f>
        <v>0</v>
      </c>
      <c r="R123" s="2">
        <f>IF(O123&lt;1,0,_XLL.RISKBINOMIAL(ROUND(O123,0),S123))</f>
        <v>0</v>
      </c>
      <c r="S123" s="11">
        <f t="shared" si="19"/>
        <v>0.0002337817386286467</v>
      </c>
      <c r="U123" s="2">
        <f t="shared" si="14"/>
        <v>102</v>
      </c>
      <c r="V123" s="2">
        <f t="shared" si="15"/>
        <v>1224</v>
      </c>
      <c r="W123" s="2">
        <f t="shared" si="16"/>
        <v>68</v>
      </c>
    </row>
    <row r="124" spans="1:23" ht="12.75">
      <c r="A124">
        <v>1</v>
      </c>
      <c r="B124">
        <v>120</v>
      </c>
      <c r="C124" s="2">
        <f t="shared" si="20"/>
        <v>100.61538461538461</v>
      </c>
      <c r="D124" s="2">
        <f t="shared" si="21"/>
        <v>1.3846153846153846</v>
      </c>
      <c r="E124" s="2">
        <f t="shared" si="22"/>
        <v>10.061538461538461</v>
      </c>
      <c r="F124" s="2">
        <f t="shared" si="23"/>
        <v>0.13846153846153847</v>
      </c>
      <c r="G124" s="9">
        <f>_XLL.RISKOUTPUT(,"Contaminated food products during a shift",121)+D124/(C124+D124)</f>
        <v>0.013574660633484163</v>
      </c>
      <c r="H124" s="2">
        <f>IF(C124&lt;1,0,_XLL.RISKBINOMIAL(ROUND(C124,0),I124))</f>
        <v>0</v>
      </c>
      <c r="I124" s="8">
        <f t="shared" si="24"/>
        <v>5.569062148913506E-05</v>
      </c>
      <c r="J124" s="2">
        <f t="shared" si="17"/>
        <v>1220.7418090519864</v>
      </c>
      <c r="K124" s="2">
        <f t="shared" si="18"/>
        <v>3.2581909480136027</v>
      </c>
      <c r="L124" s="10">
        <f>_XLL.RISKOUTPUT(,"Contaminated food contact surfaces during a shift",121)+K124/(J124+K124)</f>
        <v>0.00266192070916144</v>
      </c>
      <c r="M124" s="2">
        <f>IF(J124&lt;1,0,_XLL.RISKBINOMIAL(ROUND(J124,0),N124))</f>
        <v>0</v>
      </c>
      <c r="N124" s="11">
        <f t="shared" si="25"/>
        <v>1.3308466217609727E-05</v>
      </c>
      <c r="O124" s="2">
        <f t="shared" si="26"/>
        <v>68</v>
      </c>
      <c r="P124" s="2">
        <f t="shared" si="27"/>
        <v>0</v>
      </c>
      <c r="Q124" s="10">
        <f>_XLL.RISKOUTPUT(,"Contaminated gloves during a shift",121)+P124/(O124+P124)</f>
        <v>0</v>
      </c>
      <c r="R124" s="2">
        <f>IF(O124&lt;1,0,_XLL.RISKBINOMIAL(ROUND(O124,0),S124))</f>
        <v>0</v>
      </c>
      <c r="S124" s="11">
        <f t="shared" si="19"/>
        <v>0.0002337817386286467</v>
      </c>
      <c r="U124" s="2">
        <f t="shared" si="14"/>
        <v>102</v>
      </c>
      <c r="V124" s="2">
        <f t="shared" si="15"/>
        <v>1224</v>
      </c>
      <c r="W124" s="2">
        <f t="shared" si="16"/>
        <v>68</v>
      </c>
    </row>
    <row r="125" spans="1:23" ht="12.75">
      <c r="A125">
        <v>1</v>
      </c>
      <c r="B125">
        <v>121</v>
      </c>
      <c r="C125" s="2">
        <f t="shared" si="20"/>
        <v>100.61538461538461</v>
      </c>
      <c r="D125" s="2">
        <f t="shared" si="21"/>
        <v>1.3846153846153846</v>
      </c>
      <c r="E125" s="2">
        <f t="shared" si="22"/>
        <v>10.061538461538461</v>
      </c>
      <c r="F125" s="2">
        <f t="shared" si="23"/>
        <v>0.13846153846153847</v>
      </c>
      <c r="G125" s="9">
        <f>_XLL.RISKOUTPUT(,"Contaminated food products during a shift",122)+D125/(C125+D125)</f>
        <v>0.013574660633484163</v>
      </c>
      <c r="H125" s="2">
        <f>IF(C125&lt;1,0,_XLL.RISKBINOMIAL(ROUND(C125,0),I125))</f>
        <v>0</v>
      </c>
      <c r="I125" s="8">
        <f t="shared" si="24"/>
        <v>5.569062148913506E-05</v>
      </c>
      <c r="J125" s="2">
        <f t="shared" si="17"/>
        <v>1220.7418090519864</v>
      </c>
      <c r="K125" s="2">
        <f t="shared" si="18"/>
        <v>3.2581909480136027</v>
      </c>
      <c r="L125" s="10">
        <f>_XLL.RISKOUTPUT(,"Contaminated food contact surfaces during a shift",122)+K125/(J125+K125)</f>
        <v>0.00266192070916144</v>
      </c>
      <c r="M125" s="2">
        <f>IF(J125&lt;1,0,_XLL.RISKBINOMIAL(ROUND(J125,0),N125))</f>
        <v>0</v>
      </c>
      <c r="N125" s="11">
        <f t="shared" si="25"/>
        <v>1.3308466217609727E-05</v>
      </c>
      <c r="O125" s="2">
        <f t="shared" si="26"/>
        <v>68</v>
      </c>
      <c r="P125" s="2">
        <f t="shared" si="27"/>
        <v>0</v>
      </c>
      <c r="Q125" s="10">
        <f>_XLL.RISKOUTPUT(,"Contaminated gloves during a shift",122)+P125/(O125+P125)</f>
        <v>0</v>
      </c>
      <c r="R125" s="2">
        <f>IF(O125&lt;1,0,_XLL.RISKBINOMIAL(ROUND(O125,0),S125))</f>
        <v>0</v>
      </c>
      <c r="S125" s="11">
        <f t="shared" si="19"/>
        <v>0.0002337817386286467</v>
      </c>
      <c r="U125" s="2">
        <f t="shared" si="14"/>
        <v>102</v>
      </c>
      <c r="V125" s="2">
        <f t="shared" si="15"/>
        <v>1224</v>
      </c>
      <c r="W125" s="2">
        <f t="shared" si="16"/>
        <v>68</v>
      </c>
    </row>
    <row r="126" spans="1:23" ht="12.75">
      <c r="A126">
        <v>1</v>
      </c>
      <c r="B126">
        <v>122</v>
      </c>
      <c r="C126" s="2">
        <f t="shared" si="20"/>
        <v>100.61538461538461</v>
      </c>
      <c r="D126" s="2">
        <f t="shared" si="21"/>
        <v>1.3846153846153846</v>
      </c>
      <c r="E126" s="2">
        <f t="shared" si="22"/>
        <v>10.061538461538461</v>
      </c>
      <c r="F126" s="2">
        <f t="shared" si="23"/>
        <v>0.13846153846153847</v>
      </c>
      <c r="G126" s="9">
        <f>_XLL.RISKOUTPUT(,"Contaminated food products during a shift",123)+D126/(C126+D126)</f>
        <v>0.013574660633484163</v>
      </c>
      <c r="H126" s="2">
        <f>IF(C126&lt;1,0,_XLL.RISKBINOMIAL(ROUND(C126,0),I126))</f>
        <v>0</v>
      </c>
      <c r="I126" s="8">
        <f t="shared" si="24"/>
        <v>5.569062148913506E-05</v>
      </c>
      <c r="J126" s="2">
        <f t="shared" si="17"/>
        <v>1220.7418090519864</v>
      </c>
      <c r="K126" s="2">
        <f t="shared" si="18"/>
        <v>3.2581909480136027</v>
      </c>
      <c r="L126" s="10">
        <f>_XLL.RISKOUTPUT(,"Contaminated food contact surfaces during a shift",123)+K126/(J126+K126)</f>
        <v>0.00266192070916144</v>
      </c>
      <c r="M126" s="2">
        <f>IF(J126&lt;1,0,_XLL.RISKBINOMIAL(ROUND(J126,0),N126))</f>
        <v>0</v>
      </c>
      <c r="N126" s="11">
        <f t="shared" si="25"/>
        <v>1.3308466217609727E-05</v>
      </c>
      <c r="O126" s="2">
        <f t="shared" si="26"/>
        <v>68</v>
      </c>
      <c r="P126" s="2">
        <f t="shared" si="27"/>
        <v>0</v>
      </c>
      <c r="Q126" s="10">
        <f>_XLL.RISKOUTPUT(,"Contaminated gloves during a shift",123)+P126/(O126+P126)</f>
        <v>0</v>
      </c>
      <c r="R126" s="2">
        <f>IF(O126&lt;1,0,_XLL.RISKBINOMIAL(ROUND(O126,0),S126))</f>
        <v>0</v>
      </c>
      <c r="S126" s="11">
        <f t="shared" si="19"/>
        <v>0.0002337817386286467</v>
      </c>
      <c r="U126" s="2">
        <f t="shared" si="14"/>
        <v>102</v>
      </c>
      <c r="V126" s="2">
        <f t="shared" si="15"/>
        <v>1224</v>
      </c>
      <c r="W126" s="2">
        <f t="shared" si="16"/>
        <v>68</v>
      </c>
    </row>
    <row r="127" spans="1:23" ht="12.75">
      <c r="A127">
        <v>1</v>
      </c>
      <c r="B127">
        <v>123</v>
      </c>
      <c r="C127" s="2">
        <f t="shared" si="20"/>
        <v>100.61538461538461</v>
      </c>
      <c r="D127" s="2">
        <f t="shared" si="21"/>
        <v>1.3846153846153846</v>
      </c>
      <c r="E127" s="2">
        <f t="shared" si="22"/>
        <v>10.061538461538461</v>
      </c>
      <c r="F127" s="2">
        <f t="shared" si="23"/>
        <v>0.13846153846153847</v>
      </c>
      <c r="G127" s="9">
        <f>_XLL.RISKOUTPUT(,"Contaminated food products during a shift",124)+D127/(C127+D127)</f>
        <v>0.013574660633484163</v>
      </c>
      <c r="H127" s="2">
        <f>IF(C127&lt;1,0,_XLL.RISKBINOMIAL(ROUND(C127,0),I127))</f>
        <v>0</v>
      </c>
      <c r="I127" s="8">
        <f t="shared" si="24"/>
        <v>5.569062148913506E-05</v>
      </c>
      <c r="J127" s="2">
        <f t="shared" si="17"/>
        <v>1220.7418090519864</v>
      </c>
      <c r="K127" s="2">
        <f t="shared" si="18"/>
        <v>3.2581909480136027</v>
      </c>
      <c r="L127" s="10">
        <f>_XLL.RISKOUTPUT(,"Contaminated food contact surfaces during a shift",124)+K127/(J127+K127)</f>
        <v>0.00266192070916144</v>
      </c>
      <c r="M127" s="2">
        <f>IF(J127&lt;1,0,_XLL.RISKBINOMIAL(ROUND(J127,0),N127))</f>
        <v>0</v>
      </c>
      <c r="N127" s="11">
        <f t="shared" si="25"/>
        <v>1.3308466217609727E-05</v>
      </c>
      <c r="O127" s="2">
        <f t="shared" si="26"/>
        <v>68</v>
      </c>
      <c r="P127" s="2">
        <f t="shared" si="27"/>
        <v>0</v>
      </c>
      <c r="Q127" s="10">
        <f>_XLL.RISKOUTPUT(,"Contaminated gloves during a shift",124)+P127/(O127+P127)</f>
        <v>0</v>
      </c>
      <c r="R127" s="2">
        <f>IF(O127&lt;1,0,_XLL.RISKBINOMIAL(ROUND(O127,0),S127))</f>
        <v>0</v>
      </c>
      <c r="S127" s="11">
        <f t="shared" si="19"/>
        <v>0.0002337817386286467</v>
      </c>
      <c r="U127" s="2">
        <f t="shared" si="14"/>
        <v>102</v>
      </c>
      <c r="V127" s="2">
        <f t="shared" si="15"/>
        <v>1224</v>
      </c>
      <c r="W127" s="2">
        <f t="shared" si="16"/>
        <v>68</v>
      </c>
    </row>
    <row r="128" spans="1:23" ht="12.75">
      <c r="A128">
        <v>1</v>
      </c>
      <c r="B128">
        <v>124</v>
      </c>
      <c r="C128" s="2">
        <f t="shared" si="20"/>
        <v>100.61538461538461</v>
      </c>
      <c r="D128" s="2">
        <f t="shared" si="21"/>
        <v>1.3846153846153846</v>
      </c>
      <c r="E128" s="2">
        <f t="shared" si="22"/>
        <v>10.061538461538461</v>
      </c>
      <c r="F128" s="2">
        <f t="shared" si="23"/>
        <v>0.13846153846153847</v>
      </c>
      <c r="G128" s="9">
        <f>_XLL.RISKOUTPUT(,"Contaminated food products during a shift",125)+D128/(C128+D128)</f>
        <v>0.013574660633484163</v>
      </c>
      <c r="H128" s="2">
        <f>IF(C128&lt;1,0,_XLL.RISKBINOMIAL(ROUND(C128,0),I128))</f>
        <v>0</v>
      </c>
      <c r="I128" s="8">
        <f t="shared" si="24"/>
        <v>5.569062148913506E-05</v>
      </c>
      <c r="J128" s="2">
        <f t="shared" si="17"/>
        <v>1220.7418090519864</v>
      </c>
      <c r="K128" s="2">
        <f t="shared" si="18"/>
        <v>3.2581909480136027</v>
      </c>
      <c r="L128" s="10">
        <f>_XLL.RISKOUTPUT(,"Contaminated food contact surfaces during a shift",125)+K128/(J128+K128)</f>
        <v>0.00266192070916144</v>
      </c>
      <c r="M128" s="2">
        <f>IF(J128&lt;1,0,_XLL.RISKBINOMIAL(ROUND(J128,0),N128))</f>
        <v>0</v>
      </c>
      <c r="N128" s="11">
        <f t="shared" si="25"/>
        <v>1.3308466217609727E-05</v>
      </c>
      <c r="O128" s="2">
        <f t="shared" si="26"/>
        <v>68</v>
      </c>
      <c r="P128" s="2">
        <f t="shared" si="27"/>
        <v>0</v>
      </c>
      <c r="Q128" s="10">
        <f>_XLL.RISKOUTPUT(,"Contaminated gloves during a shift",125)+P128/(O128+P128)</f>
        <v>0</v>
      </c>
      <c r="R128" s="2">
        <f>IF(O128&lt;1,0,_XLL.RISKBINOMIAL(ROUND(O128,0),S128))</f>
        <v>0</v>
      </c>
      <c r="S128" s="11">
        <f t="shared" si="19"/>
        <v>0.0002337817386286467</v>
      </c>
      <c r="U128" s="2">
        <f t="shared" si="14"/>
        <v>102</v>
      </c>
      <c r="V128" s="2">
        <f t="shared" si="15"/>
        <v>1224</v>
      </c>
      <c r="W128" s="2">
        <f t="shared" si="16"/>
        <v>68</v>
      </c>
    </row>
    <row r="129" spans="1:23" ht="12.75">
      <c r="A129">
        <v>1</v>
      </c>
      <c r="B129">
        <v>125</v>
      </c>
      <c r="C129" s="2">
        <f t="shared" si="20"/>
        <v>100.61538461538461</v>
      </c>
      <c r="D129" s="2">
        <f t="shared" si="21"/>
        <v>1.3846153846153846</v>
      </c>
      <c r="E129" s="2">
        <f t="shared" si="22"/>
        <v>10.061538461538461</v>
      </c>
      <c r="F129" s="2">
        <f t="shared" si="23"/>
        <v>0.13846153846153847</v>
      </c>
      <c r="G129" s="9">
        <f>_XLL.RISKOUTPUT(,"Contaminated food products during a shift",126)+D129/(C129+D129)</f>
        <v>0.013574660633484163</v>
      </c>
      <c r="H129" s="2">
        <f>IF(C129&lt;1,0,_XLL.RISKBINOMIAL(ROUND(C129,0),I129))</f>
        <v>0</v>
      </c>
      <c r="I129" s="8">
        <f t="shared" si="24"/>
        <v>5.569062148913506E-05</v>
      </c>
      <c r="J129" s="2">
        <f t="shared" si="17"/>
        <v>1220.7418090519864</v>
      </c>
      <c r="K129" s="2">
        <f t="shared" si="18"/>
        <v>3.2581909480136027</v>
      </c>
      <c r="L129" s="10">
        <f>_XLL.RISKOUTPUT(,"Contaminated food contact surfaces during a shift",126)+K129/(J129+K129)</f>
        <v>0.00266192070916144</v>
      </c>
      <c r="M129" s="2">
        <f>IF(J129&lt;1,0,_XLL.RISKBINOMIAL(ROUND(J129,0),N129))</f>
        <v>0</v>
      </c>
      <c r="N129" s="11">
        <f t="shared" si="25"/>
        <v>1.3308466217609727E-05</v>
      </c>
      <c r="O129" s="2">
        <f t="shared" si="26"/>
        <v>68</v>
      </c>
      <c r="P129" s="2">
        <f t="shared" si="27"/>
        <v>0</v>
      </c>
      <c r="Q129" s="10">
        <f>_XLL.RISKOUTPUT(,"Contaminated gloves during a shift",126)+P129/(O129+P129)</f>
        <v>0</v>
      </c>
      <c r="R129" s="2">
        <f>IF(O129&lt;1,0,_XLL.RISKBINOMIAL(ROUND(O129,0),S129))</f>
        <v>0</v>
      </c>
      <c r="S129" s="11">
        <f t="shared" si="19"/>
        <v>0.0002337817386286467</v>
      </c>
      <c r="U129" s="2">
        <f t="shared" si="14"/>
        <v>102</v>
      </c>
      <c r="V129" s="2">
        <f t="shared" si="15"/>
        <v>1224</v>
      </c>
      <c r="W129" s="2">
        <f t="shared" si="16"/>
        <v>68</v>
      </c>
    </row>
    <row r="130" spans="1:23" ht="12.75">
      <c r="A130">
        <v>1</v>
      </c>
      <c r="B130">
        <v>126</v>
      </c>
      <c r="C130" s="2">
        <f t="shared" si="20"/>
        <v>100.61538461538461</v>
      </c>
      <c r="D130" s="2">
        <f t="shared" si="21"/>
        <v>1.3846153846153846</v>
      </c>
      <c r="E130" s="2">
        <f t="shared" si="22"/>
        <v>10.061538461538461</v>
      </c>
      <c r="F130" s="2">
        <f t="shared" si="23"/>
        <v>0.13846153846153847</v>
      </c>
      <c r="G130" s="9">
        <f>_XLL.RISKOUTPUT(,"Contaminated food products during a shift",127)+D130/(C130+D130)</f>
        <v>0.013574660633484163</v>
      </c>
      <c r="H130" s="2">
        <f>IF(C130&lt;1,0,_XLL.RISKBINOMIAL(ROUND(C130,0),I130))</f>
        <v>0</v>
      </c>
      <c r="I130" s="8">
        <f t="shared" si="24"/>
        <v>5.569062148913506E-05</v>
      </c>
      <c r="J130" s="2">
        <f t="shared" si="17"/>
        <v>1220.7418090519864</v>
      </c>
      <c r="K130" s="2">
        <f t="shared" si="18"/>
        <v>3.2581909480136027</v>
      </c>
      <c r="L130" s="10">
        <f>_XLL.RISKOUTPUT(,"Contaminated food contact surfaces during a shift",127)+K130/(J130+K130)</f>
        <v>0.00266192070916144</v>
      </c>
      <c r="M130" s="2">
        <f>IF(J130&lt;1,0,_XLL.RISKBINOMIAL(ROUND(J130,0),N130))</f>
        <v>0</v>
      </c>
      <c r="N130" s="11">
        <f t="shared" si="25"/>
        <v>1.3308466217609727E-05</v>
      </c>
      <c r="O130" s="2">
        <f t="shared" si="26"/>
        <v>68</v>
      </c>
      <c r="P130" s="2">
        <f t="shared" si="27"/>
        <v>0</v>
      </c>
      <c r="Q130" s="10">
        <f>_XLL.RISKOUTPUT(,"Contaminated gloves during a shift",127)+P130/(O130+P130)</f>
        <v>0</v>
      </c>
      <c r="R130" s="2">
        <f>IF(O130&lt;1,0,_XLL.RISKBINOMIAL(ROUND(O130,0),S130))</f>
        <v>0</v>
      </c>
      <c r="S130" s="11">
        <f t="shared" si="19"/>
        <v>0.0002337817386286467</v>
      </c>
      <c r="U130" s="2">
        <f t="shared" si="14"/>
        <v>102</v>
      </c>
      <c r="V130" s="2">
        <f t="shared" si="15"/>
        <v>1224</v>
      </c>
      <c r="W130" s="2">
        <f t="shared" si="16"/>
        <v>68</v>
      </c>
    </row>
    <row r="131" spans="1:23" ht="12.75">
      <c r="A131">
        <v>1</v>
      </c>
      <c r="B131">
        <v>127</v>
      </c>
      <c r="C131" s="2">
        <f t="shared" si="20"/>
        <v>100.61538461538461</v>
      </c>
      <c r="D131" s="2">
        <f t="shared" si="21"/>
        <v>1.3846153846153846</v>
      </c>
      <c r="E131" s="2">
        <f t="shared" si="22"/>
        <v>10.061538461538461</v>
      </c>
      <c r="F131" s="2">
        <f t="shared" si="23"/>
        <v>0.13846153846153847</v>
      </c>
      <c r="G131" s="9">
        <f>_XLL.RISKOUTPUT(,"Contaminated food products during a shift",128)+D131/(C131+D131)</f>
        <v>0.013574660633484163</v>
      </c>
      <c r="H131" s="2">
        <f>IF(C131&lt;1,0,_XLL.RISKBINOMIAL(ROUND(C131,0),I131))</f>
        <v>0</v>
      </c>
      <c r="I131" s="8">
        <f t="shared" si="24"/>
        <v>5.569062148913506E-05</v>
      </c>
      <c r="J131" s="2">
        <f t="shared" si="17"/>
        <v>1220.7418090519864</v>
      </c>
      <c r="K131" s="2">
        <f t="shared" si="18"/>
        <v>3.2581909480136027</v>
      </c>
      <c r="L131" s="10">
        <f>_XLL.RISKOUTPUT(,"Contaminated food contact surfaces during a shift",128)+K131/(J131+K131)</f>
        <v>0.00266192070916144</v>
      </c>
      <c r="M131" s="2">
        <f>IF(J131&lt;1,0,_XLL.RISKBINOMIAL(ROUND(J131,0),N131))</f>
        <v>0</v>
      </c>
      <c r="N131" s="11">
        <f t="shared" si="25"/>
        <v>1.3308466217609727E-05</v>
      </c>
      <c r="O131" s="2">
        <f t="shared" si="26"/>
        <v>68</v>
      </c>
      <c r="P131" s="2">
        <f t="shared" si="27"/>
        <v>0</v>
      </c>
      <c r="Q131" s="10">
        <f>_XLL.RISKOUTPUT(,"Contaminated gloves during a shift",128)+P131/(O131+P131)</f>
        <v>0</v>
      </c>
      <c r="R131" s="2">
        <f>IF(O131&lt;1,0,_XLL.RISKBINOMIAL(ROUND(O131,0),S131))</f>
        <v>0</v>
      </c>
      <c r="S131" s="11">
        <f t="shared" si="19"/>
        <v>0.0002337817386286467</v>
      </c>
      <c r="U131" s="2">
        <f t="shared" si="14"/>
        <v>102</v>
      </c>
      <c r="V131" s="2">
        <f t="shared" si="15"/>
        <v>1224</v>
      </c>
      <c r="W131" s="2">
        <f t="shared" si="16"/>
        <v>68</v>
      </c>
    </row>
    <row r="132" spans="1:23" ht="12.75">
      <c r="A132">
        <v>1</v>
      </c>
      <c r="B132">
        <v>128</v>
      </c>
      <c r="C132" s="2">
        <f t="shared" si="20"/>
        <v>100.61538461538461</v>
      </c>
      <c r="D132" s="2">
        <f t="shared" si="21"/>
        <v>1.3846153846153846</v>
      </c>
      <c r="E132" s="2">
        <f t="shared" si="22"/>
        <v>10.061538461538461</v>
      </c>
      <c r="F132" s="2">
        <f t="shared" si="23"/>
        <v>0.13846153846153847</v>
      </c>
      <c r="G132" s="9">
        <f>_XLL.RISKOUTPUT(,"Contaminated food products during a shift",129)+D132/(C132+D132)</f>
        <v>0.013574660633484163</v>
      </c>
      <c r="H132" s="2">
        <f>IF(C132&lt;1,0,_XLL.RISKBINOMIAL(ROUND(C132,0),I132))</f>
        <v>0</v>
      </c>
      <c r="I132" s="8">
        <f t="shared" si="24"/>
        <v>5.569062148913506E-05</v>
      </c>
      <c r="J132" s="2">
        <f t="shared" si="17"/>
        <v>1220.7418090519864</v>
      </c>
      <c r="K132" s="2">
        <f t="shared" si="18"/>
        <v>3.2581909480136027</v>
      </c>
      <c r="L132" s="10">
        <f>_XLL.RISKOUTPUT(,"Contaminated food contact surfaces during a shift",129)+K132/(J132+K132)</f>
        <v>0.00266192070916144</v>
      </c>
      <c r="M132" s="2">
        <f>IF(J132&lt;1,0,_XLL.RISKBINOMIAL(ROUND(J132,0),N132))</f>
        <v>0</v>
      </c>
      <c r="N132" s="11">
        <f t="shared" si="25"/>
        <v>1.3308466217609727E-05</v>
      </c>
      <c r="O132" s="2">
        <f t="shared" si="26"/>
        <v>68</v>
      </c>
      <c r="P132" s="2">
        <f t="shared" si="27"/>
        <v>0</v>
      </c>
      <c r="Q132" s="10">
        <f>_XLL.RISKOUTPUT(,"Contaminated gloves during a shift",129)+P132/(O132+P132)</f>
        <v>0</v>
      </c>
      <c r="R132" s="2">
        <f>IF(O132&lt;1,0,_XLL.RISKBINOMIAL(ROUND(O132,0),S132))</f>
        <v>0</v>
      </c>
      <c r="S132" s="11">
        <f t="shared" si="19"/>
        <v>0.0002337817386286467</v>
      </c>
      <c r="U132" s="2">
        <f aca="true" t="shared" si="28" ref="U132:U195">C132+D132</f>
        <v>102</v>
      </c>
      <c r="V132" s="2">
        <f aca="true" t="shared" si="29" ref="V132:V195">J132+K132</f>
        <v>1224</v>
      </c>
      <c r="W132" s="2">
        <f aca="true" t="shared" si="30" ref="W132:W195">O132+P132</f>
        <v>68</v>
      </c>
    </row>
    <row r="133" spans="1:23" ht="12.75">
      <c r="A133">
        <v>1</v>
      </c>
      <c r="B133">
        <v>129</v>
      </c>
      <c r="C133" s="2">
        <f t="shared" si="20"/>
        <v>100.61538461538461</v>
      </c>
      <c r="D133" s="2">
        <f t="shared" si="21"/>
        <v>1.3846153846153846</v>
      </c>
      <c r="E133" s="2">
        <f t="shared" si="22"/>
        <v>10.061538461538461</v>
      </c>
      <c r="F133" s="2">
        <f t="shared" si="23"/>
        <v>0.13846153846153847</v>
      </c>
      <c r="G133" s="9">
        <f>_XLL.RISKOUTPUT(,"Contaminated food products during a shift",130)+D133/(C133+D133)</f>
        <v>0.013574660633484163</v>
      </c>
      <c r="H133" s="2">
        <f>IF(C133&lt;1,0,_XLL.RISKBINOMIAL(ROUND(C133,0),I133))</f>
        <v>0</v>
      </c>
      <c r="I133" s="8">
        <f t="shared" si="24"/>
        <v>5.569062148913506E-05</v>
      </c>
      <c r="J133" s="2">
        <f aca="true" t="shared" si="31" ref="J133:J196">IF(J132-M132+K132*(1-A133)&lt;0,0,J132-M132+K132*(1-A133))</f>
        <v>1220.7418090519864</v>
      </c>
      <c r="K133" s="2">
        <f aca="true" t="shared" si="32" ref="K133:K196">IF(K132+M132-K132*(1-A133)&lt;0,0,K132+M132-K132*(1-A133))</f>
        <v>3.2581909480136027</v>
      </c>
      <c r="L133" s="10">
        <f>_XLL.RISKOUTPUT(,"Contaminated food contact surfaces during a shift",130)+K133/(J133+K133)</f>
        <v>0.00266192070916144</v>
      </c>
      <c r="M133" s="2">
        <f>IF(J133&lt;1,0,_XLL.RISKBINOMIAL(ROUND(J133,0),N133))</f>
        <v>0</v>
      </c>
      <c r="N133" s="11">
        <f t="shared" si="25"/>
        <v>1.3308466217609727E-05</v>
      </c>
      <c r="O133" s="2">
        <f t="shared" si="26"/>
        <v>68</v>
      </c>
      <c r="P133" s="2">
        <f t="shared" si="27"/>
        <v>0</v>
      </c>
      <c r="Q133" s="10">
        <f>_XLL.RISKOUTPUT(,"Contaminated gloves during a shift",130)+P133/(O133+P133)</f>
        <v>0</v>
      </c>
      <c r="R133" s="2">
        <f>IF(O133&lt;1,0,_XLL.RISKBINOMIAL(ROUND(O133,0),S133))</f>
        <v>0</v>
      </c>
      <c r="S133" s="11">
        <f aca="true" t="shared" si="33" ref="S133:S196">(1-((1-p_FP_G)^(D133)*(1-p_FCS_G)^(K133)*(1-p_G_E)^(pE*nE)))</f>
        <v>0.0002337817386286467</v>
      </c>
      <c r="U133" s="2">
        <f t="shared" si="28"/>
        <v>102</v>
      </c>
      <c r="V133" s="2">
        <f t="shared" si="29"/>
        <v>1224</v>
      </c>
      <c r="W133" s="2">
        <f t="shared" si="30"/>
        <v>68</v>
      </c>
    </row>
    <row r="134" spans="1:23" ht="12.75">
      <c r="A134">
        <v>1</v>
      </c>
      <c r="B134">
        <v>130</v>
      </c>
      <c r="C134" s="2">
        <f aca="true" t="shared" si="34" ref="C134:C197">IF(C133-H133-pr*C133+nFP*pr*(1-pFP)&lt;0,0,C133-H133-pr*C133+nFP*pr*(1-pFP))</f>
        <v>100.61538461538461</v>
      </c>
      <c r="D134" s="2">
        <f aca="true" t="shared" si="35" ref="D134:D197">IF(D133+H133+pr*nFP*pFP-D133*pr&lt;0,0,D133+H133+pr*nFP*pFP-D133*pr)</f>
        <v>1.3846153846153846</v>
      </c>
      <c r="E134" s="2">
        <f aca="true" t="shared" si="36" ref="E134:E197">C134*pr</f>
        <v>10.061538461538461</v>
      </c>
      <c r="F134" s="2">
        <f aca="true" t="shared" si="37" ref="F134:F197">D134*pr</f>
        <v>0.13846153846153847</v>
      </c>
      <c r="G134" s="9">
        <f>_XLL.RISKOUTPUT(,"Contaminated food products during a shift",131)+D134/(C134+D134)</f>
        <v>0.013574660633484163</v>
      </c>
      <c r="H134" s="2">
        <f>IF(C134&lt;1,0,_XLL.RISKBINOMIAL(ROUND(C134,0),I134))</f>
        <v>0</v>
      </c>
      <c r="I134" s="8">
        <f aca="true" t="shared" si="38" ref="I134:I197">(1-((1-p_FCS_FP)^(K134))*((1-p_G_FP)^(P134))*((1-p_FP_FP)^(D134)))</f>
        <v>5.569062148913506E-05</v>
      </c>
      <c r="J134" s="2">
        <f t="shared" si="31"/>
        <v>1220.7418090519864</v>
      </c>
      <c r="K134" s="2">
        <f t="shared" si="32"/>
        <v>3.2581909480136027</v>
      </c>
      <c r="L134" s="10">
        <f>_XLL.RISKOUTPUT(,"Contaminated food contact surfaces during a shift",131)+K134/(J134+K134)</f>
        <v>0.00266192070916144</v>
      </c>
      <c r="M134" s="2">
        <f>IF(J134&lt;1,0,_XLL.RISKBINOMIAL(ROUND(J134,0),N134))</f>
        <v>0</v>
      </c>
      <c r="N134" s="11">
        <f aca="true" t="shared" si="39" ref="N134:N197">(1-((1-p_FP_FCS)^(D134))*((1-p_G_FCS)^(P134)))</f>
        <v>1.3308466217609727E-05</v>
      </c>
      <c r="O134" s="2">
        <f aca="true" t="shared" si="40" ref="O134:O197">IF(O133-R133+nG*G_h-O133*G_h&lt;0,0,O133-R133+nG*G_h-O133*G_h)</f>
        <v>68</v>
      </c>
      <c r="P134" s="2">
        <f aca="true" t="shared" si="41" ref="P134:P197">IF(P133+R133-P133*G_h&lt;0,0,P133+R133-P133*G_h)</f>
        <v>0</v>
      </c>
      <c r="Q134" s="10">
        <f>_XLL.RISKOUTPUT(,"Contaminated gloves during a shift",131)+P134/(O134+P134)</f>
        <v>0</v>
      </c>
      <c r="R134" s="2">
        <f>IF(O134&lt;1,0,_XLL.RISKBINOMIAL(ROUND(O134,0),S134))</f>
        <v>0</v>
      </c>
      <c r="S134" s="11">
        <f t="shared" si="33"/>
        <v>0.0002337817386286467</v>
      </c>
      <c r="U134" s="2">
        <f t="shared" si="28"/>
        <v>102</v>
      </c>
      <c r="V134" s="2">
        <f t="shared" si="29"/>
        <v>1224</v>
      </c>
      <c r="W134" s="2">
        <f t="shared" si="30"/>
        <v>68</v>
      </c>
    </row>
    <row r="135" spans="1:23" ht="12.75">
      <c r="A135">
        <v>1</v>
      </c>
      <c r="B135">
        <v>131</v>
      </c>
      <c r="C135" s="2">
        <f t="shared" si="34"/>
        <v>100.61538461538461</v>
      </c>
      <c r="D135" s="2">
        <f t="shared" si="35"/>
        <v>1.3846153846153846</v>
      </c>
      <c r="E135" s="2">
        <f t="shared" si="36"/>
        <v>10.061538461538461</v>
      </c>
      <c r="F135" s="2">
        <f t="shared" si="37"/>
        <v>0.13846153846153847</v>
      </c>
      <c r="G135" s="9">
        <f>_XLL.RISKOUTPUT(,"Contaminated food products during a shift",132)+D135/(C135+D135)</f>
        <v>0.013574660633484163</v>
      </c>
      <c r="H135" s="2">
        <f>IF(C135&lt;1,0,_XLL.RISKBINOMIAL(ROUND(C135,0),I135))</f>
        <v>0</v>
      </c>
      <c r="I135" s="8">
        <f t="shared" si="38"/>
        <v>5.569062148913506E-05</v>
      </c>
      <c r="J135" s="2">
        <f t="shared" si="31"/>
        <v>1220.7418090519864</v>
      </c>
      <c r="K135" s="2">
        <f t="shared" si="32"/>
        <v>3.2581909480136027</v>
      </c>
      <c r="L135" s="10">
        <f>_XLL.RISKOUTPUT(,"Contaminated food contact surfaces during a shift",132)+K135/(J135+K135)</f>
        <v>0.00266192070916144</v>
      </c>
      <c r="M135" s="2">
        <f>IF(J135&lt;1,0,_XLL.RISKBINOMIAL(ROUND(J135,0),N135))</f>
        <v>0</v>
      </c>
      <c r="N135" s="11">
        <f t="shared" si="39"/>
        <v>1.3308466217609727E-05</v>
      </c>
      <c r="O135" s="2">
        <f t="shared" si="40"/>
        <v>68</v>
      </c>
      <c r="P135" s="2">
        <f t="shared" si="41"/>
        <v>0</v>
      </c>
      <c r="Q135" s="10">
        <f>_XLL.RISKOUTPUT(,"Contaminated gloves during a shift",132)+P135/(O135+P135)</f>
        <v>0</v>
      </c>
      <c r="R135" s="2">
        <f>IF(O135&lt;1,0,_XLL.RISKBINOMIAL(ROUND(O135,0),S135))</f>
        <v>0</v>
      </c>
      <c r="S135" s="11">
        <f t="shared" si="33"/>
        <v>0.0002337817386286467</v>
      </c>
      <c r="U135" s="2">
        <f t="shared" si="28"/>
        <v>102</v>
      </c>
      <c r="V135" s="2">
        <f t="shared" si="29"/>
        <v>1224</v>
      </c>
      <c r="W135" s="2">
        <f t="shared" si="30"/>
        <v>68</v>
      </c>
    </row>
    <row r="136" spans="1:23" ht="12.75">
      <c r="A136">
        <v>1</v>
      </c>
      <c r="B136">
        <v>132</v>
      </c>
      <c r="C136" s="2">
        <f t="shared" si="34"/>
        <v>100.61538461538461</v>
      </c>
      <c r="D136" s="2">
        <f t="shared" si="35"/>
        <v>1.3846153846153846</v>
      </c>
      <c r="E136" s="2">
        <f t="shared" si="36"/>
        <v>10.061538461538461</v>
      </c>
      <c r="F136" s="2">
        <f t="shared" si="37"/>
        <v>0.13846153846153847</v>
      </c>
      <c r="G136" s="9">
        <f>_XLL.RISKOUTPUT(,"Contaminated food products during a shift",133)+D136/(C136+D136)</f>
        <v>0.013574660633484163</v>
      </c>
      <c r="H136" s="2">
        <f>IF(C136&lt;1,0,_XLL.RISKBINOMIAL(ROUND(C136,0),I136))</f>
        <v>0</v>
      </c>
      <c r="I136" s="8">
        <f t="shared" si="38"/>
        <v>5.569062148913506E-05</v>
      </c>
      <c r="J136" s="2">
        <f t="shared" si="31"/>
        <v>1220.7418090519864</v>
      </c>
      <c r="K136" s="2">
        <f t="shared" si="32"/>
        <v>3.2581909480136027</v>
      </c>
      <c r="L136" s="10">
        <f>_XLL.RISKOUTPUT(,"Contaminated food contact surfaces during a shift",133)+K136/(J136+K136)</f>
        <v>0.00266192070916144</v>
      </c>
      <c r="M136" s="2">
        <f>IF(J136&lt;1,0,_XLL.RISKBINOMIAL(ROUND(J136,0),N136))</f>
        <v>0</v>
      </c>
      <c r="N136" s="11">
        <f t="shared" si="39"/>
        <v>1.3308466217609727E-05</v>
      </c>
      <c r="O136" s="2">
        <f t="shared" si="40"/>
        <v>68</v>
      </c>
      <c r="P136" s="2">
        <f t="shared" si="41"/>
        <v>0</v>
      </c>
      <c r="Q136" s="10">
        <f>_XLL.RISKOUTPUT(,"Contaminated gloves during a shift",133)+P136/(O136+P136)</f>
        <v>0</v>
      </c>
      <c r="R136" s="2">
        <f>IF(O136&lt;1,0,_XLL.RISKBINOMIAL(ROUND(O136,0),S136))</f>
        <v>0</v>
      </c>
      <c r="S136" s="11">
        <f t="shared" si="33"/>
        <v>0.0002337817386286467</v>
      </c>
      <c r="U136" s="2">
        <f t="shared" si="28"/>
        <v>102</v>
      </c>
      <c r="V136" s="2">
        <f t="shared" si="29"/>
        <v>1224</v>
      </c>
      <c r="W136" s="2">
        <f t="shared" si="30"/>
        <v>68</v>
      </c>
    </row>
    <row r="137" spans="1:23" ht="12.75">
      <c r="A137">
        <v>1</v>
      </c>
      <c r="B137">
        <v>133</v>
      </c>
      <c r="C137" s="2">
        <f t="shared" si="34"/>
        <v>100.61538461538461</v>
      </c>
      <c r="D137" s="2">
        <f t="shared" si="35"/>
        <v>1.3846153846153846</v>
      </c>
      <c r="E137" s="2">
        <f t="shared" si="36"/>
        <v>10.061538461538461</v>
      </c>
      <c r="F137" s="2">
        <f t="shared" si="37"/>
        <v>0.13846153846153847</v>
      </c>
      <c r="G137" s="9">
        <f>_XLL.RISKOUTPUT(,"Contaminated food products during a shift",134)+D137/(C137+D137)</f>
        <v>0.013574660633484163</v>
      </c>
      <c r="H137" s="2">
        <f>IF(C137&lt;1,0,_XLL.RISKBINOMIAL(ROUND(C137,0),I137))</f>
        <v>0</v>
      </c>
      <c r="I137" s="8">
        <f t="shared" si="38"/>
        <v>5.569062148913506E-05</v>
      </c>
      <c r="J137" s="2">
        <f t="shared" si="31"/>
        <v>1220.7418090519864</v>
      </c>
      <c r="K137" s="2">
        <f t="shared" si="32"/>
        <v>3.2581909480136027</v>
      </c>
      <c r="L137" s="10">
        <f>_XLL.RISKOUTPUT(,"Contaminated food contact surfaces during a shift",134)+K137/(J137+K137)</f>
        <v>0.00266192070916144</v>
      </c>
      <c r="M137" s="2">
        <f>IF(J137&lt;1,0,_XLL.RISKBINOMIAL(ROUND(J137,0),N137))</f>
        <v>0</v>
      </c>
      <c r="N137" s="11">
        <f t="shared" si="39"/>
        <v>1.3308466217609727E-05</v>
      </c>
      <c r="O137" s="2">
        <f t="shared" si="40"/>
        <v>68</v>
      </c>
      <c r="P137" s="2">
        <f t="shared" si="41"/>
        <v>0</v>
      </c>
      <c r="Q137" s="10">
        <f>_XLL.RISKOUTPUT(,"Contaminated gloves during a shift",134)+P137/(O137+P137)</f>
        <v>0</v>
      </c>
      <c r="R137" s="2">
        <f>IF(O137&lt;1,0,_XLL.RISKBINOMIAL(ROUND(O137,0),S137))</f>
        <v>0</v>
      </c>
      <c r="S137" s="11">
        <f t="shared" si="33"/>
        <v>0.0002337817386286467</v>
      </c>
      <c r="U137" s="2">
        <f t="shared" si="28"/>
        <v>102</v>
      </c>
      <c r="V137" s="2">
        <f t="shared" si="29"/>
        <v>1224</v>
      </c>
      <c r="W137" s="2">
        <f t="shared" si="30"/>
        <v>68</v>
      </c>
    </row>
    <row r="138" spans="1:23" ht="12.75">
      <c r="A138">
        <v>1</v>
      </c>
      <c r="B138">
        <v>134</v>
      </c>
      <c r="C138" s="2">
        <f t="shared" si="34"/>
        <v>100.61538461538461</v>
      </c>
      <c r="D138" s="2">
        <f t="shared" si="35"/>
        <v>1.3846153846153846</v>
      </c>
      <c r="E138" s="2">
        <f t="shared" si="36"/>
        <v>10.061538461538461</v>
      </c>
      <c r="F138" s="2">
        <f t="shared" si="37"/>
        <v>0.13846153846153847</v>
      </c>
      <c r="G138" s="9">
        <f>_XLL.RISKOUTPUT(,"Contaminated food products during a shift",135)+D138/(C138+D138)</f>
        <v>0.013574660633484163</v>
      </c>
      <c r="H138" s="2">
        <f>IF(C138&lt;1,0,_XLL.RISKBINOMIAL(ROUND(C138,0),I138))</f>
        <v>0</v>
      </c>
      <c r="I138" s="8">
        <f t="shared" si="38"/>
        <v>5.569062148913506E-05</v>
      </c>
      <c r="J138" s="2">
        <f t="shared" si="31"/>
        <v>1220.7418090519864</v>
      </c>
      <c r="K138" s="2">
        <f t="shared" si="32"/>
        <v>3.2581909480136027</v>
      </c>
      <c r="L138" s="10">
        <f>_XLL.RISKOUTPUT(,"Contaminated food contact surfaces during a shift",135)+K138/(J138+K138)</f>
        <v>0.00266192070916144</v>
      </c>
      <c r="M138" s="2">
        <f>IF(J138&lt;1,0,_XLL.RISKBINOMIAL(ROUND(J138,0),N138))</f>
        <v>0</v>
      </c>
      <c r="N138" s="11">
        <f t="shared" si="39"/>
        <v>1.3308466217609727E-05</v>
      </c>
      <c r="O138" s="2">
        <f t="shared" si="40"/>
        <v>68</v>
      </c>
      <c r="P138" s="2">
        <f t="shared" si="41"/>
        <v>0</v>
      </c>
      <c r="Q138" s="10">
        <f>_XLL.RISKOUTPUT(,"Contaminated gloves during a shift",135)+P138/(O138+P138)</f>
        <v>0</v>
      </c>
      <c r="R138" s="2">
        <f>IF(O138&lt;1,0,_XLL.RISKBINOMIAL(ROUND(O138,0),S138))</f>
        <v>0</v>
      </c>
      <c r="S138" s="11">
        <f t="shared" si="33"/>
        <v>0.0002337817386286467</v>
      </c>
      <c r="U138" s="2">
        <f t="shared" si="28"/>
        <v>102</v>
      </c>
      <c r="V138" s="2">
        <f t="shared" si="29"/>
        <v>1224</v>
      </c>
      <c r="W138" s="2">
        <f t="shared" si="30"/>
        <v>68</v>
      </c>
    </row>
    <row r="139" spans="1:23" ht="12.75">
      <c r="A139">
        <v>1</v>
      </c>
      <c r="B139">
        <v>135</v>
      </c>
      <c r="C139" s="2">
        <f t="shared" si="34"/>
        <v>100.61538461538461</v>
      </c>
      <c r="D139" s="2">
        <f t="shared" si="35"/>
        <v>1.3846153846153846</v>
      </c>
      <c r="E139" s="2">
        <f t="shared" si="36"/>
        <v>10.061538461538461</v>
      </c>
      <c r="F139" s="2">
        <f t="shared" si="37"/>
        <v>0.13846153846153847</v>
      </c>
      <c r="G139" s="9">
        <f>_XLL.RISKOUTPUT(,"Contaminated food products during a shift",136)+D139/(C139+D139)</f>
        <v>0.013574660633484163</v>
      </c>
      <c r="H139" s="2">
        <f>IF(C139&lt;1,0,_XLL.RISKBINOMIAL(ROUND(C139,0),I139))</f>
        <v>0</v>
      </c>
      <c r="I139" s="8">
        <f t="shared" si="38"/>
        <v>5.569062148913506E-05</v>
      </c>
      <c r="J139" s="2">
        <f t="shared" si="31"/>
        <v>1220.7418090519864</v>
      </c>
      <c r="K139" s="2">
        <f t="shared" si="32"/>
        <v>3.2581909480136027</v>
      </c>
      <c r="L139" s="10">
        <f>_XLL.RISKOUTPUT(,"Contaminated food contact surfaces during a shift",136)+K139/(J139+K139)</f>
        <v>0.00266192070916144</v>
      </c>
      <c r="M139" s="2">
        <f>IF(J139&lt;1,0,_XLL.RISKBINOMIAL(ROUND(J139,0),N139))</f>
        <v>0</v>
      </c>
      <c r="N139" s="11">
        <f t="shared" si="39"/>
        <v>1.3308466217609727E-05</v>
      </c>
      <c r="O139" s="2">
        <f t="shared" si="40"/>
        <v>68</v>
      </c>
      <c r="P139" s="2">
        <f t="shared" si="41"/>
        <v>0</v>
      </c>
      <c r="Q139" s="10">
        <f>_XLL.RISKOUTPUT(,"Contaminated gloves during a shift",136)+P139/(O139+P139)</f>
        <v>0</v>
      </c>
      <c r="R139" s="2">
        <f>IF(O139&lt;1,0,_XLL.RISKBINOMIAL(ROUND(O139,0),S139))</f>
        <v>0</v>
      </c>
      <c r="S139" s="11">
        <f t="shared" si="33"/>
        <v>0.0002337817386286467</v>
      </c>
      <c r="U139" s="2">
        <f t="shared" si="28"/>
        <v>102</v>
      </c>
      <c r="V139" s="2">
        <f t="shared" si="29"/>
        <v>1224</v>
      </c>
      <c r="W139" s="2">
        <f t="shared" si="30"/>
        <v>68</v>
      </c>
    </row>
    <row r="140" spans="1:23" ht="12.75">
      <c r="A140">
        <v>1</v>
      </c>
      <c r="B140">
        <v>136</v>
      </c>
      <c r="C140" s="2">
        <f t="shared" si="34"/>
        <v>100.61538461538461</v>
      </c>
      <c r="D140" s="2">
        <f t="shared" si="35"/>
        <v>1.3846153846153846</v>
      </c>
      <c r="E140" s="2">
        <f t="shared" si="36"/>
        <v>10.061538461538461</v>
      </c>
      <c r="F140" s="2">
        <f t="shared" si="37"/>
        <v>0.13846153846153847</v>
      </c>
      <c r="G140" s="9">
        <f>_XLL.RISKOUTPUT(,"Contaminated food products during a shift",137)+D140/(C140+D140)</f>
        <v>0.013574660633484163</v>
      </c>
      <c r="H140" s="2">
        <f>IF(C140&lt;1,0,_XLL.RISKBINOMIAL(ROUND(C140,0),I140))</f>
        <v>0</v>
      </c>
      <c r="I140" s="8">
        <f t="shared" si="38"/>
        <v>5.569062148913506E-05</v>
      </c>
      <c r="J140" s="2">
        <f t="shared" si="31"/>
        <v>1220.7418090519864</v>
      </c>
      <c r="K140" s="2">
        <f t="shared" si="32"/>
        <v>3.2581909480136027</v>
      </c>
      <c r="L140" s="10">
        <f>_XLL.RISKOUTPUT(,"Contaminated food contact surfaces during a shift",137)+K140/(J140+K140)</f>
        <v>0.00266192070916144</v>
      </c>
      <c r="M140" s="2">
        <f>IF(J140&lt;1,0,_XLL.RISKBINOMIAL(ROUND(J140,0),N140))</f>
        <v>0</v>
      </c>
      <c r="N140" s="11">
        <f t="shared" si="39"/>
        <v>1.3308466217609727E-05</v>
      </c>
      <c r="O140" s="2">
        <f t="shared" si="40"/>
        <v>68</v>
      </c>
      <c r="P140" s="2">
        <f t="shared" si="41"/>
        <v>0</v>
      </c>
      <c r="Q140" s="10">
        <f>_XLL.RISKOUTPUT(,"Contaminated gloves during a shift",137)+P140/(O140+P140)</f>
        <v>0</v>
      </c>
      <c r="R140" s="2">
        <f>IF(O140&lt;1,0,_XLL.RISKBINOMIAL(ROUND(O140,0),S140))</f>
        <v>0</v>
      </c>
      <c r="S140" s="11">
        <f t="shared" si="33"/>
        <v>0.0002337817386286467</v>
      </c>
      <c r="U140" s="2">
        <f t="shared" si="28"/>
        <v>102</v>
      </c>
      <c r="V140" s="2">
        <f t="shared" si="29"/>
        <v>1224</v>
      </c>
      <c r="W140" s="2">
        <f t="shared" si="30"/>
        <v>68</v>
      </c>
    </row>
    <row r="141" spans="1:23" ht="12.75">
      <c r="A141">
        <v>1</v>
      </c>
      <c r="B141">
        <v>137</v>
      </c>
      <c r="C141" s="2">
        <f t="shared" si="34"/>
        <v>100.61538461538461</v>
      </c>
      <c r="D141" s="2">
        <f t="shared" si="35"/>
        <v>1.3846153846153846</v>
      </c>
      <c r="E141" s="2">
        <f t="shared" si="36"/>
        <v>10.061538461538461</v>
      </c>
      <c r="F141" s="2">
        <f t="shared" si="37"/>
        <v>0.13846153846153847</v>
      </c>
      <c r="G141" s="9">
        <f>_XLL.RISKOUTPUT(,"Contaminated food products during a shift",138)+D141/(C141+D141)</f>
        <v>0.013574660633484163</v>
      </c>
      <c r="H141" s="2">
        <f>IF(C141&lt;1,0,_XLL.RISKBINOMIAL(ROUND(C141,0),I141))</f>
        <v>0</v>
      </c>
      <c r="I141" s="8">
        <f t="shared" si="38"/>
        <v>5.569062148913506E-05</v>
      </c>
      <c r="J141" s="2">
        <f t="shared" si="31"/>
        <v>1220.7418090519864</v>
      </c>
      <c r="K141" s="2">
        <f t="shared" si="32"/>
        <v>3.2581909480136027</v>
      </c>
      <c r="L141" s="10">
        <f>_XLL.RISKOUTPUT(,"Contaminated food contact surfaces during a shift",138)+K141/(J141+K141)</f>
        <v>0.00266192070916144</v>
      </c>
      <c r="M141" s="2">
        <f>IF(J141&lt;1,0,_XLL.RISKBINOMIAL(ROUND(J141,0),N141))</f>
        <v>0</v>
      </c>
      <c r="N141" s="11">
        <f t="shared" si="39"/>
        <v>1.3308466217609727E-05</v>
      </c>
      <c r="O141" s="2">
        <f t="shared" si="40"/>
        <v>68</v>
      </c>
      <c r="P141" s="2">
        <f t="shared" si="41"/>
        <v>0</v>
      </c>
      <c r="Q141" s="10">
        <f>_XLL.RISKOUTPUT(,"Contaminated gloves during a shift",138)+P141/(O141+P141)</f>
        <v>0</v>
      </c>
      <c r="R141" s="2">
        <f>IF(O141&lt;1,0,_XLL.RISKBINOMIAL(ROUND(O141,0),S141))</f>
        <v>0</v>
      </c>
      <c r="S141" s="11">
        <f t="shared" si="33"/>
        <v>0.0002337817386286467</v>
      </c>
      <c r="U141" s="2">
        <f t="shared" si="28"/>
        <v>102</v>
      </c>
      <c r="V141" s="2">
        <f t="shared" si="29"/>
        <v>1224</v>
      </c>
      <c r="W141" s="2">
        <f t="shared" si="30"/>
        <v>68</v>
      </c>
    </row>
    <row r="142" spans="1:23" ht="12.75">
      <c r="A142">
        <v>1</v>
      </c>
      <c r="B142">
        <v>138</v>
      </c>
      <c r="C142" s="2">
        <f t="shared" si="34"/>
        <v>100.61538461538461</v>
      </c>
      <c r="D142" s="2">
        <f t="shared" si="35"/>
        <v>1.3846153846153846</v>
      </c>
      <c r="E142" s="2">
        <f t="shared" si="36"/>
        <v>10.061538461538461</v>
      </c>
      <c r="F142" s="2">
        <f t="shared" si="37"/>
        <v>0.13846153846153847</v>
      </c>
      <c r="G142" s="9">
        <f>_XLL.RISKOUTPUT(,"Contaminated food products during a shift",139)+D142/(C142+D142)</f>
        <v>0.013574660633484163</v>
      </c>
      <c r="H142" s="2">
        <f>IF(C142&lt;1,0,_XLL.RISKBINOMIAL(ROUND(C142,0),I142))</f>
        <v>0</v>
      </c>
      <c r="I142" s="8">
        <f t="shared" si="38"/>
        <v>5.569062148913506E-05</v>
      </c>
      <c r="J142" s="2">
        <f t="shared" si="31"/>
        <v>1220.7418090519864</v>
      </c>
      <c r="K142" s="2">
        <f t="shared" si="32"/>
        <v>3.2581909480136027</v>
      </c>
      <c r="L142" s="10">
        <f>_XLL.RISKOUTPUT(,"Contaminated food contact surfaces during a shift",139)+K142/(J142+K142)</f>
        <v>0.00266192070916144</v>
      </c>
      <c r="M142" s="2">
        <f>IF(J142&lt;1,0,_XLL.RISKBINOMIAL(ROUND(J142,0),N142))</f>
        <v>0</v>
      </c>
      <c r="N142" s="11">
        <f t="shared" si="39"/>
        <v>1.3308466217609727E-05</v>
      </c>
      <c r="O142" s="2">
        <f t="shared" si="40"/>
        <v>68</v>
      </c>
      <c r="P142" s="2">
        <f t="shared" si="41"/>
        <v>0</v>
      </c>
      <c r="Q142" s="10">
        <f>_XLL.RISKOUTPUT(,"Contaminated gloves during a shift",139)+P142/(O142+P142)</f>
        <v>0</v>
      </c>
      <c r="R142" s="2">
        <f>IF(O142&lt;1,0,_XLL.RISKBINOMIAL(ROUND(O142,0),S142))</f>
        <v>0</v>
      </c>
      <c r="S142" s="11">
        <f t="shared" si="33"/>
        <v>0.0002337817386286467</v>
      </c>
      <c r="U142" s="2">
        <f t="shared" si="28"/>
        <v>102</v>
      </c>
      <c r="V142" s="2">
        <f t="shared" si="29"/>
        <v>1224</v>
      </c>
      <c r="W142" s="2">
        <f t="shared" si="30"/>
        <v>68</v>
      </c>
    </row>
    <row r="143" spans="1:23" ht="12.75">
      <c r="A143">
        <v>1</v>
      </c>
      <c r="B143">
        <v>139</v>
      </c>
      <c r="C143" s="2">
        <f t="shared" si="34"/>
        <v>100.61538461538461</v>
      </c>
      <c r="D143" s="2">
        <f t="shared" si="35"/>
        <v>1.3846153846153846</v>
      </c>
      <c r="E143" s="2">
        <f t="shared" si="36"/>
        <v>10.061538461538461</v>
      </c>
      <c r="F143" s="2">
        <f t="shared" si="37"/>
        <v>0.13846153846153847</v>
      </c>
      <c r="G143" s="9">
        <f>_XLL.RISKOUTPUT(,"Contaminated food products during a shift",140)+D143/(C143+D143)</f>
        <v>0.013574660633484163</v>
      </c>
      <c r="H143" s="2">
        <f>IF(C143&lt;1,0,_XLL.RISKBINOMIAL(ROUND(C143,0),I143))</f>
        <v>0</v>
      </c>
      <c r="I143" s="8">
        <f t="shared" si="38"/>
        <v>5.569062148913506E-05</v>
      </c>
      <c r="J143" s="2">
        <f t="shared" si="31"/>
        <v>1220.7418090519864</v>
      </c>
      <c r="K143" s="2">
        <f t="shared" si="32"/>
        <v>3.2581909480136027</v>
      </c>
      <c r="L143" s="10">
        <f>_XLL.RISKOUTPUT(,"Contaminated food contact surfaces during a shift",140)+K143/(J143+K143)</f>
        <v>0.00266192070916144</v>
      </c>
      <c r="M143" s="2">
        <f>IF(J143&lt;1,0,_XLL.RISKBINOMIAL(ROUND(J143,0),N143))</f>
        <v>0</v>
      </c>
      <c r="N143" s="11">
        <f t="shared" si="39"/>
        <v>1.3308466217609727E-05</v>
      </c>
      <c r="O143" s="2">
        <f t="shared" si="40"/>
        <v>68</v>
      </c>
      <c r="P143" s="2">
        <f t="shared" si="41"/>
        <v>0</v>
      </c>
      <c r="Q143" s="10">
        <f>_XLL.RISKOUTPUT(,"Contaminated gloves during a shift",140)+P143/(O143+P143)</f>
        <v>0</v>
      </c>
      <c r="R143" s="2">
        <f>IF(O143&lt;1,0,_XLL.RISKBINOMIAL(ROUND(O143,0),S143))</f>
        <v>0</v>
      </c>
      <c r="S143" s="11">
        <f t="shared" si="33"/>
        <v>0.0002337817386286467</v>
      </c>
      <c r="U143" s="2">
        <f t="shared" si="28"/>
        <v>102</v>
      </c>
      <c r="V143" s="2">
        <f t="shared" si="29"/>
        <v>1224</v>
      </c>
      <c r="W143" s="2">
        <f t="shared" si="30"/>
        <v>68</v>
      </c>
    </row>
    <row r="144" spans="1:23" ht="12.75">
      <c r="A144">
        <v>1</v>
      </c>
      <c r="B144">
        <v>140</v>
      </c>
      <c r="C144" s="2">
        <f t="shared" si="34"/>
        <v>100.61538461538461</v>
      </c>
      <c r="D144" s="2">
        <f t="shared" si="35"/>
        <v>1.3846153846153846</v>
      </c>
      <c r="E144" s="2">
        <f t="shared" si="36"/>
        <v>10.061538461538461</v>
      </c>
      <c r="F144" s="2">
        <f t="shared" si="37"/>
        <v>0.13846153846153847</v>
      </c>
      <c r="G144" s="9">
        <f>_XLL.RISKOUTPUT(,"Contaminated food products during a shift",141)+D144/(C144+D144)</f>
        <v>0.013574660633484163</v>
      </c>
      <c r="H144" s="2">
        <f>IF(C144&lt;1,0,_XLL.RISKBINOMIAL(ROUND(C144,0),I144))</f>
        <v>0</v>
      </c>
      <c r="I144" s="8">
        <f t="shared" si="38"/>
        <v>5.569062148913506E-05</v>
      </c>
      <c r="J144" s="2">
        <f t="shared" si="31"/>
        <v>1220.7418090519864</v>
      </c>
      <c r="K144" s="2">
        <f t="shared" si="32"/>
        <v>3.2581909480136027</v>
      </c>
      <c r="L144" s="10">
        <f>_XLL.RISKOUTPUT(,"Contaminated food contact surfaces during a shift",141)+K144/(J144+K144)</f>
        <v>0.00266192070916144</v>
      </c>
      <c r="M144" s="2">
        <f>IF(J144&lt;1,0,_XLL.RISKBINOMIAL(ROUND(J144,0),N144))</f>
        <v>0</v>
      </c>
      <c r="N144" s="11">
        <f t="shared" si="39"/>
        <v>1.3308466217609727E-05</v>
      </c>
      <c r="O144" s="2">
        <f t="shared" si="40"/>
        <v>68</v>
      </c>
      <c r="P144" s="2">
        <f t="shared" si="41"/>
        <v>0</v>
      </c>
      <c r="Q144" s="10">
        <f>_XLL.RISKOUTPUT(,"Contaminated gloves during a shift",141)+P144/(O144+P144)</f>
        <v>0</v>
      </c>
      <c r="R144" s="2">
        <f>IF(O144&lt;1,0,_XLL.RISKBINOMIAL(ROUND(O144,0),S144))</f>
        <v>0</v>
      </c>
      <c r="S144" s="11">
        <f t="shared" si="33"/>
        <v>0.0002337817386286467</v>
      </c>
      <c r="U144" s="2">
        <f t="shared" si="28"/>
        <v>102</v>
      </c>
      <c r="V144" s="2">
        <f t="shared" si="29"/>
        <v>1224</v>
      </c>
      <c r="W144" s="2">
        <f t="shared" si="30"/>
        <v>68</v>
      </c>
    </row>
    <row r="145" spans="1:23" ht="12.75">
      <c r="A145">
        <v>1</v>
      </c>
      <c r="B145">
        <v>141</v>
      </c>
      <c r="C145" s="2">
        <f t="shared" si="34"/>
        <v>100.61538461538461</v>
      </c>
      <c r="D145" s="2">
        <f t="shared" si="35"/>
        <v>1.3846153846153846</v>
      </c>
      <c r="E145" s="2">
        <f t="shared" si="36"/>
        <v>10.061538461538461</v>
      </c>
      <c r="F145" s="2">
        <f t="shared" si="37"/>
        <v>0.13846153846153847</v>
      </c>
      <c r="G145" s="9">
        <f>_XLL.RISKOUTPUT(,"Contaminated food products during a shift",142)+D145/(C145+D145)</f>
        <v>0.013574660633484163</v>
      </c>
      <c r="H145" s="2">
        <f>IF(C145&lt;1,0,_XLL.RISKBINOMIAL(ROUND(C145,0),I145))</f>
        <v>0</v>
      </c>
      <c r="I145" s="8">
        <f t="shared" si="38"/>
        <v>5.569062148913506E-05</v>
      </c>
      <c r="J145" s="2">
        <f t="shared" si="31"/>
        <v>1220.7418090519864</v>
      </c>
      <c r="K145" s="2">
        <f t="shared" si="32"/>
        <v>3.2581909480136027</v>
      </c>
      <c r="L145" s="10">
        <f>_XLL.RISKOUTPUT(,"Contaminated food contact surfaces during a shift",142)+K145/(J145+K145)</f>
        <v>0.00266192070916144</v>
      </c>
      <c r="M145" s="2">
        <f>IF(J145&lt;1,0,_XLL.RISKBINOMIAL(ROUND(J145,0),N145))</f>
        <v>0</v>
      </c>
      <c r="N145" s="11">
        <f t="shared" si="39"/>
        <v>1.3308466217609727E-05</v>
      </c>
      <c r="O145" s="2">
        <f t="shared" si="40"/>
        <v>68</v>
      </c>
      <c r="P145" s="2">
        <f t="shared" si="41"/>
        <v>0</v>
      </c>
      <c r="Q145" s="10">
        <f>_XLL.RISKOUTPUT(,"Contaminated gloves during a shift",142)+P145/(O145+P145)</f>
        <v>0</v>
      </c>
      <c r="R145" s="2">
        <f>IF(O145&lt;1,0,_XLL.RISKBINOMIAL(ROUND(O145,0),S145))</f>
        <v>0</v>
      </c>
      <c r="S145" s="11">
        <f t="shared" si="33"/>
        <v>0.0002337817386286467</v>
      </c>
      <c r="U145" s="2">
        <f t="shared" si="28"/>
        <v>102</v>
      </c>
      <c r="V145" s="2">
        <f t="shared" si="29"/>
        <v>1224</v>
      </c>
      <c r="W145" s="2">
        <f t="shared" si="30"/>
        <v>68</v>
      </c>
    </row>
    <row r="146" spans="1:23" ht="12.75">
      <c r="A146">
        <v>1</v>
      </c>
      <c r="B146">
        <v>142</v>
      </c>
      <c r="C146" s="2">
        <f t="shared" si="34"/>
        <v>100.61538461538461</v>
      </c>
      <c r="D146" s="2">
        <f t="shared" si="35"/>
        <v>1.3846153846153846</v>
      </c>
      <c r="E146" s="2">
        <f t="shared" si="36"/>
        <v>10.061538461538461</v>
      </c>
      <c r="F146" s="2">
        <f t="shared" si="37"/>
        <v>0.13846153846153847</v>
      </c>
      <c r="G146" s="9">
        <f>_XLL.RISKOUTPUT(,"Contaminated food products during a shift",143)+D146/(C146+D146)</f>
        <v>0.013574660633484163</v>
      </c>
      <c r="H146" s="2">
        <f>IF(C146&lt;1,0,_XLL.RISKBINOMIAL(ROUND(C146,0),I146))</f>
        <v>0</v>
      </c>
      <c r="I146" s="8">
        <f t="shared" si="38"/>
        <v>5.569062148913506E-05</v>
      </c>
      <c r="J146" s="2">
        <f t="shared" si="31"/>
        <v>1220.7418090519864</v>
      </c>
      <c r="K146" s="2">
        <f t="shared" si="32"/>
        <v>3.2581909480136027</v>
      </c>
      <c r="L146" s="10">
        <f>_XLL.RISKOUTPUT(,"Contaminated food contact surfaces during a shift",143)+K146/(J146+K146)</f>
        <v>0.00266192070916144</v>
      </c>
      <c r="M146" s="2">
        <f>IF(J146&lt;1,0,_XLL.RISKBINOMIAL(ROUND(J146,0),N146))</f>
        <v>0</v>
      </c>
      <c r="N146" s="11">
        <f t="shared" si="39"/>
        <v>1.3308466217609727E-05</v>
      </c>
      <c r="O146" s="2">
        <f t="shared" si="40"/>
        <v>68</v>
      </c>
      <c r="P146" s="2">
        <f t="shared" si="41"/>
        <v>0</v>
      </c>
      <c r="Q146" s="10">
        <f>_XLL.RISKOUTPUT(,"Contaminated gloves during a shift",143)+P146/(O146+P146)</f>
        <v>0</v>
      </c>
      <c r="R146" s="2">
        <f>IF(O146&lt;1,0,_XLL.RISKBINOMIAL(ROUND(O146,0),S146))</f>
        <v>0</v>
      </c>
      <c r="S146" s="11">
        <f t="shared" si="33"/>
        <v>0.0002337817386286467</v>
      </c>
      <c r="U146" s="2">
        <f t="shared" si="28"/>
        <v>102</v>
      </c>
      <c r="V146" s="2">
        <f t="shared" si="29"/>
        <v>1224</v>
      </c>
      <c r="W146" s="2">
        <f t="shared" si="30"/>
        <v>68</v>
      </c>
    </row>
    <row r="147" spans="1:23" ht="12.75">
      <c r="A147">
        <v>1</v>
      </c>
      <c r="B147">
        <v>143</v>
      </c>
      <c r="C147" s="2">
        <f t="shared" si="34"/>
        <v>100.61538461538461</v>
      </c>
      <c r="D147" s="2">
        <f t="shared" si="35"/>
        <v>1.3846153846153846</v>
      </c>
      <c r="E147" s="2">
        <f t="shared" si="36"/>
        <v>10.061538461538461</v>
      </c>
      <c r="F147" s="2">
        <f t="shared" si="37"/>
        <v>0.13846153846153847</v>
      </c>
      <c r="G147" s="9">
        <f>_XLL.RISKOUTPUT(,"Contaminated food products during a shift",144)+D147/(C147+D147)</f>
        <v>0.013574660633484163</v>
      </c>
      <c r="H147" s="2">
        <f>IF(C147&lt;1,0,_XLL.RISKBINOMIAL(ROUND(C147,0),I147))</f>
        <v>0</v>
      </c>
      <c r="I147" s="8">
        <f t="shared" si="38"/>
        <v>5.569062148913506E-05</v>
      </c>
      <c r="J147" s="2">
        <f t="shared" si="31"/>
        <v>1220.7418090519864</v>
      </c>
      <c r="K147" s="2">
        <f t="shared" si="32"/>
        <v>3.2581909480136027</v>
      </c>
      <c r="L147" s="10">
        <f>_XLL.RISKOUTPUT(,"Contaminated food contact surfaces during a shift",144)+K147/(J147+K147)</f>
        <v>0.00266192070916144</v>
      </c>
      <c r="M147" s="2">
        <f>IF(J147&lt;1,0,_XLL.RISKBINOMIAL(ROUND(J147,0),N147))</f>
        <v>0</v>
      </c>
      <c r="N147" s="11">
        <f t="shared" si="39"/>
        <v>1.3308466217609727E-05</v>
      </c>
      <c r="O147" s="2">
        <f t="shared" si="40"/>
        <v>68</v>
      </c>
      <c r="P147" s="2">
        <f t="shared" si="41"/>
        <v>0</v>
      </c>
      <c r="Q147" s="10">
        <f>_XLL.RISKOUTPUT(,"Contaminated gloves during a shift",144)+P147/(O147+P147)</f>
        <v>0</v>
      </c>
      <c r="R147" s="2">
        <f>IF(O147&lt;1,0,_XLL.RISKBINOMIAL(ROUND(O147,0),S147))</f>
        <v>0</v>
      </c>
      <c r="S147" s="11">
        <f t="shared" si="33"/>
        <v>0.0002337817386286467</v>
      </c>
      <c r="U147" s="2">
        <f t="shared" si="28"/>
        <v>102</v>
      </c>
      <c r="V147" s="2">
        <f t="shared" si="29"/>
        <v>1224</v>
      </c>
      <c r="W147" s="2">
        <f t="shared" si="30"/>
        <v>68</v>
      </c>
    </row>
    <row r="148" spans="1:23" ht="12.75">
      <c r="A148">
        <v>1</v>
      </c>
      <c r="B148">
        <v>144</v>
      </c>
      <c r="C148" s="2">
        <f t="shared" si="34"/>
        <v>100.61538461538461</v>
      </c>
      <c r="D148" s="2">
        <f t="shared" si="35"/>
        <v>1.3846153846153846</v>
      </c>
      <c r="E148" s="2">
        <f t="shared" si="36"/>
        <v>10.061538461538461</v>
      </c>
      <c r="F148" s="2">
        <f t="shared" si="37"/>
        <v>0.13846153846153847</v>
      </c>
      <c r="G148" s="9">
        <f>_XLL.RISKOUTPUT(,"Contaminated food products during a shift",145)+D148/(C148+D148)</f>
        <v>0.013574660633484163</v>
      </c>
      <c r="H148" s="2">
        <f>IF(C148&lt;1,0,_XLL.RISKBINOMIAL(ROUND(C148,0),I148))</f>
        <v>0</v>
      </c>
      <c r="I148" s="8">
        <f t="shared" si="38"/>
        <v>5.569062148913506E-05</v>
      </c>
      <c r="J148" s="2">
        <f t="shared" si="31"/>
        <v>1220.7418090519864</v>
      </c>
      <c r="K148" s="2">
        <f t="shared" si="32"/>
        <v>3.2581909480136027</v>
      </c>
      <c r="L148" s="10">
        <f>_XLL.RISKOUTPUT(,"Contaminated food contact surfaces during a shift",145)+K148/(J148+K148)</f>
        <v>0.00266192070916144</v>
      </c>
      <c r="M148" s="2">
        <f>IF(J148&lt;1,0,_XLL.RISKBINOMIAL(ROUND(J148,0),N148))</f>
        <v>0</v>
      </c>
      <c r="N148" s="11">
        <f t="shared" si="39"/>
        <v>1.3308466217609727E-05</v>
      </c>
      <c r="O148" s="2">
        <f t="shared" si="40"/>
        <v>68</v>
      </c>
      <c r="P148" s="2">
        <f t="shared" si="41"/>
        <v>0</v>
      </c>
      <c r="Q148" s="10">
        <f>_XLL.RISKOUTPUT(,"Contaminated gloves during a shift",145)+P148/(O148+P148)</f>
        <v>0</v>
      </c>
      <c r="R148" s="2">
        <f>IF(O148&lt;1,0,_XLL.RISKBINOMIAL(ROUND(O148,0),S148))</f>
        <v>0</v>
      </c>
      <c r="S148" s="11">
        <f t="shared" si="33"/>
        <v>0.0002337817386286467</v>
      </c>
      <c r="U148" s="2">
        <f t="shared" si="28"/>
        <v>102</v>
      </c>
      <c r="V148" s="2">
        <f t="shared" si="29"/>
        <v>1224</v>
      </c>
      <c r="W148" s="2">
        <f t="shared" si="30"/>
        <v>68</v>
      </c>
    </row>
    <row r="149" spans="1:23" ht="12.75">
      <c r="A149">
        <v>1</v>
      </c>
      <c r="B149">
        <v>145</v>
      </c>
      <c r="C149" s="2">
        <f t="shared" si="34"/>
        <v>100.61538461538461</v>
      </c>
      <c r="D149" s="2">
        <f t="shared" si="35"/>
        <v>1.3846153846153846</v>
      </c>
      <c r="E149" s="2">
        <f t="shared" si="36"/>
        <v>10.061538461538461</v>
      </c>
      <c r="F149" s="2">
        <f t="shared" si="37"/>
        <v>0.13846153846153847</v>
      </c>
      <c r="G149" s="9">
        <f>_XLL.RISKOUTPUT(,"Contaminated food products during a shift",146)+D149/(C149+D149)</f>
        <v>0.013574660633484163</v>
      </c>
      <c r="H149" s="2">
        <f>IF(C149&lt;1,0,_XLL.RISKBINOMIAL(ROUND(C149,0),I149))</f>
        <v>0</v>
      </c>
      <c r="I149" s="8">
        <f t="shared" si="38"/>
        <v>5.569062148913506E-05</v>
      </c>
      <c r="J149" s="2">
        <f t="shared" si="31"/>
        <v>1220.7418090519864</v>
      </c>
      <c r="K149" s="2">
        <f t="shared" si="32"/>
        <v>3.2581909480136027</v>
      </c>
      <c r="L149" s="10">
        <f>_XLL.RISKOUTPUT(,"Contaminated food contact surfaces during a shift",146)+K149/(J149+K149)</f>
        <v>0.00266192070916144</v>
      </c>
      <c r="M149" s="2">
        <f>IF(J149&lt;1,0,_XLL.RISKBINOMIAL(ROUND(J149,0),N149))</f>
        <v>0</v>
      </c>
      <c r="N149" s="11">
        <f t="shared" si="39"/>
        <v>1.3308466217609727E-05</v>
      </c>
      <c r="O149" s="2">
        <f t="shared" si="40"/>
        <v>68</v>
      </c>
      <c r="P149" s="2">
        <f t="shared" si="41"/>
        <v>0</v>
      </c>
      <c r="Q149" s="10">
        <f>_XLL.RISKOUTPUT(,"Contaminated gloves during a shift",146)+P149/(O149+P149)</f>
        <v>0</v>
      </c>
      <c r="R149" s="2">
        <f>IF(O149&lt;1,0,_XLL.RISKBINOMIAL(ROUND(O149,0),S149))</f>
        <v>0</v>
      </c>
      <c r="S149" s="11">
        <f t="shared" si="33"/>
        <v>0.0002337817386286467</v>
      </c>
      <c r="U149" s="2">
        <f t="shared" si="28"/>
        <v>102</v>
      </c>
      <c r="V149" s="2">
        <f t="shared" si="29"/>
        <v>1224</v>
      </c>
      <c r="W149" s="2">
        <f t="shared" si="30"/>
        <v>68</v>
      </c>
    </row>
    <row r="150" spans="1:23" ht="12.75">
      <c r="A150">
        <v>1</v>
      </c>
      <c r="B150">
        <v>146</v>
      </c>
      <c r="C150" s="2">
        <f t="shared" si="34"/>
        <v>100.61538461538461</v>
      </c>
      <c r="D150" s="2">
        <f t="shared" si="35"/>
        <v>1.3846153846153846</v>
      </c>
      <c r="E150" s="2">
        <f t="shared" si="36"/>
        <v>10.061538461538461</v>
      </c>
      <c r="F150" s="2">
        <f t="shared" si="37"/>
        <v>0.13846153846153847</v>
      </c>
      <c r="G150" s="9">
        <f>_XLL.RISKOUTPUT(,"Contaminated food products during a shift",147)+D150/(C150+D150)</f>
        <v>0.013574660633484163</v>
      </c>
      <c r="H150" s="2">
        <f>IF(C150&lt;1,0,_XLL.RISKBINOMIAL(ROUND(C150,0),I150))</f>
        <v>0</v>
      </c>
      <c r="I150" s="8">
        <f t="shared" si="38"/>
        <v>5.569062148913506E-05</v>
      </c>
      <c r="J150" s="2">
        <f t="shared" si="31"/>
        <v>1220.7418090519864</v>
      </c>
      <c r="K150" s="2">
        <f t="shared" si="32"/>
        <v>3.2581909480136027</v>
      </c>
      <c r="L150" s="10">
        <f>_XLL.RISKOUTPUT(,"Contaminated food contact surfaces during a shift",147)+K150/(J150+K150)</f>
        <v>0.00266192070916144</v>
      </c>
      <c r="M150" s="2">
        <f>IF(J150&lt;1,0,_XLL.RISKBINOMIAL(ROUND(J150,0),N150))</f>
        <v>0</v>
      </c>
      <c r="N150" s="11">
        <f t="shared" si="39"/>
        <v>1.3308466217609727E-05</v>
      </c>
      <c r="O150" s="2">
        <f t="shared" si="40"/>
        <v>68</v>
      </c>
      <c r="P150" s="2">
        <f t="shared" si="41"/>
        <v>0</v>
      </c>
      <c r="Q150" s="10">
        <f>_XLL.RISKOUTPUT(,"Contaminated gloves during a shift",147)+P150/(O150+P150)</f>
        <v>0</v>
      </c>
      <c r="R150" s="2">
        <f>IF(O150&lt;1,0,_XLL.RISKBINOMIAL(ROUND(O150,0),S150))</f>
        <v>0</v>
      </c>
      <c r="S150" s="11">
        <f t="shared" si="33"/>
        <v>0.0002337817386286467</v>
      </c>
      <c r="U150" s="2">
        <f t="shared" si="28"/>
        <v>102</v>
      </c>
      <c r="V150" s="2">
        <f t="shared" si="29"/>
        <v>1224</v>
      </c>
      <c r="W150" s="2">
        <f t="shared" si="30"/>
        <v>68</v>
      </c>
    </row>
    <row r="151" spans="1:23" ht="12.75">
      <c r="A151">
        <v>1</v>
      </c>
      <c r="B151">
        <v>147</v>
      </c>
      <c r="C151" s="2">
        <f t="shared" si="34"/>
        <v>100.61538461538461</v>
      </c>
      <c r="D151" s="2">
        <f t="shared" si="35"/>
        <v>1.3846153846153846</v>
      </c>
      <c r="E151" s="2">
        <f t="shared" si="36"/>
        <v>10.061538461538461</v>
      </c>
      <c r="F151" s="2">
        <f t="shared" si="37"/>
        <v>0.13846153846153847</v>
      </c>
      <c r="G151" s="9">
        <f>_XLL.RISKOUTPUT(,"Contaminated food products during a shift",148)+D151/(C151+D151)</f>
        <v>0.013574660633484163</v>
      </c>
      <c r="H151" s="2">
        <f>IF(C151&lt;1,0,_XLL.RISKBINOMIAL(ROUND(C151,0),I151))</f>
        <v>0</v>
      </c>
      <c r="I151" s="8">
        <f t="shared" si="38"/>
        <v>5.569062148913506E-05</v>
      </c>
      <c r="J151" s="2">
        <f t="shared" si="31"/>
        <v>1220.7418090519864</v>
      </c>
      <c r="K151" s="2">
        <f t="shared" si="32"/>
        <v>3.2581909480136027</v>
      </c>
      <c r="L151" s="10">
        <f>_XLL.RISKOUTPUT(,"Contaminated food contact surfaces during a shift",148)+K151/(J151+K151)</f>
        <v>0.00266192070916144</v>
      </c>
      <c r="M151" s="2">
        <f>IF(J151&lt;1,0,_XLL.RISKBINOMIAL(ROUND(J151,0),N151))</f>
        <v>0</v>
      </c>
      <c r="N151" s="11">
        <f t="shared" si="39"/>
        <v>1.3308466217609727E-05</v>
      </c>
      <c r="O151" s="2">
        <f t="shared" si="40"/>
        <v>68</v>
      </c>
      <c r="P151" s="2">
        <f t="shared" si="41"/>
        <v>0</v>
      </c>
      <c r="Q151" s="10">
        <f>_XLL.RISKOUTPUT(,"Contaminated gloves during a shift",148)+P151/(O151+P151)</f>
        <v>0</v>
      </c>
      <c r="R151" s="2">
        <f>IF(O151&lt;1,0,_XLL.RISKBINOMIAL(ROUND(O151,0),S151))</f>
        <v>0</v>
      </c>
      <c r="S151" s="11">
        <f t="shared" si="33"/>
        <v>0.0002337817386286467</v>
      </c>
      <c r="U151" s="2">
        <f t="shared" si="28"/>
        <v>102</v>
      </c>
      <c r="V151" s="2">
        <f t="shared" si="29"/>
        <v>1224</v>
      </c>
      <c r="W151" s="2">
        <f t="shared" si="30"/>
        <v>68</v>
      </c>
    </row>
    <row r="152" spans="1:23" ht="12.75">
      <c r="A152">
        <v>1</v>
      </c>
      <c r="B152">
        <v>148</v>
      </c>
      <c r="C152" s="2">
        <f t="shared" si="34"/>
        <v>100.61538461538461</v>
      </c>
      <c r="D152" s="2">
        <f t="shared" si="35"/>
        <v>1.3846153846153846</v>
      </c>
      <c r="E152" s="2">
        <f t="shared" si="36"/>
        <v>10.061538461538461</v>
      </c>
      <c r="F152" s="2">
        <f t="shared" si="37"/>
        <v>0.13846153846153847</v>
      </c>
      <c r="G152" s="9">
        <f>_XLL.RISKOUTPUT(,"Contaminated food products during a shift",149)+D152/(C152+D152)</f>
        <v>0.013574660633484163</v>
      </c>
      <c r="H152" s="2">
        <f>IF(C152&lt;1,0,_XLL.RISKBINOMIAL(ROUND(C152,0),I152))</f>
        <v>0</v>
      </c>
      <c r="I152" s="8">
        <f t="shared" si="38"/>
        <v>5.569062148913506E-05</v>
      </c>
      <c r="J152" s="2">
        <f t="shared" si="31"/>
        <v>1220.7418090519864</v>
      </c>
      <c r="K152" s="2">
        <f t="shared" si="32"/>
        <v>3.2581909480136027</v>
      </c>
      <c r="L152" s="10">
        <f>_XLL.RISKOUTPUT(,"Contaminated food contact surfaces during a shift",149)+K152/(J152+K152)</f>
        <v>0.00266192070916144</v>
      </c>
      <c r="M152" s="2">
        <f>IF(J152&lt;1,0,_XLL.RISKBINOMIAL(ROUND(J152,0),N152))</f>
        <v>0</v>
      </c>
      <c r="N152" s="11">
        <f t="shared" si="39"/>
        <v>1.3308466217609727E-05</v>
      </c>
      <c r="O152" s="2">
        <f t="shared" si="40"/>
        <v>68</v>
      </c>
      <c r="P152" s="2">
        <f t="shared" si="41"/>
        <v>0</v>
      </c>
      <c r="Q152" s="10">
        <f>_XLL.RISKOUTPUT(,"Contaminated gloves during a shift",149)+P152/(O152+P152)</f>
        <v>0</v>
      </c>
      <c r="R152" s="2">
        <f>IF(O152&lt;1,0,_XLL.RISKBINOMIAL(ROUND(O152,0),S152))</f>
        <v>0</v>
      </c>
      <c r="S152" s="11">
        <f t="shared" si="33"/>
        <v>0.0002337817386286467</v>
      </c>
      <c r="U152" s="2">
        <f t="shared" si="28"/>
        <v>102</v>
      </c>
      <c r="V152" s="2">
        <f t="shared" si="29"/>
        <v>1224</v>
      </c>
      <c r="W152" s="2">
        <f t="shared" si="30"/>
        <v>68</v>
      </c>
    </row>
    <row r="153" spans="1:23" ht="12.75">
      <c r="A153">
        <v>1</v>
      </c>
      <c r="B153">
        <v>149</v>
      </c>
      <c r="C153" s="2">
        <f t="shared" si="34"/>
        <v>100.61538461538461</v>
      </c>
      <c r="D153" s="2">
        <f t="shared" si="35"/>
        <v>1.3846153846153846</v>
      </c>
      <c r="E153" s="2">
        <f t="shared" si="36"/>
        <v>10.061538461538461</v>
      </c>
      <c r="F153" s="2">
        <f t="shared" si="37"/>
        <v>0.13846153846153847</v>
      </c>
      <c r="G153" s="9">
        <f>_XLL.RISKOUTPUT(,"Contaminated food products during a shift",150)+D153/(C153+D153)</f>
        <v>0.013574660633484163</v>
      </c>
      <c r="H153" s="2">
        <f>IF(C153&lt;1,0,_XLL.RISKBINOMIAL(ROUND(C153,0),I153))</f>
        <v>0</v>
      </c>
      <c r="I153" s="8">
        <f t="shared" si="38"/>
        <v>5.569062148913506E-05</v>
      </c>
      <c r="J153" s="2">
        <f t="shared" si="31"/>
        <v>1220.7418090519864</v>
      </c>
      <c r="K153" s="2">
        <f t="shared" si="32"/>
        <v>3.2581909480136027</v>
      </c>
      <c r="L153" s="10">
        <f>_XLL.RISKOUTPUT(,"Contaminated food contact surfaces during a shift",150)+K153/(J153+K153)</f>
        <v>0.00266192070916144</v>
      </c>
      <c r="M153" s="2">
        <f>IF(J153&lt;1,0,_XLL.RISKBINOMIAL(ROUND(J153,0),N153))</f>
        <v>0</v>
      </c>
      <c r="N153" s="11">
        <f t="shared" si="39"/>
        <v>1.3308466217609727E-05</v>
      </c>
      <c r="O153" s="2">
        <f t="shared" si="40"/>
        <v>68</v>
      </c>
      <c r="P153" s="2">
        <f t="shared" si="41"/>
        <v>0</v>
      </c>
      <c r="Q153" s="10">
        <f>_XLL.RISKOUTPUT(,"Contaminated gloves during a shift",150)+P153/(O153+P153)</f>
        <v>0</v>
      </c>
      <c r="R153" s="2">
        <f>IF(O153&lt;1,0,_XLL.RISKBINOMIAL(ROUND(O153,0),S153))</f>
        <v>0</v>
      </c>
      <c r="S153" s="11">
        <f t="shared" si="33"/>
        <v>0.0002337817386286467</v>
      </c>
      <c r="U153" s="2">
        <f t="shared" si="28"/>
        <v>102</v>
      </c>
      <c r="V153" s="2">
        <f t="shared" si="29"/>
        <v>1224</v>
      </c>
      <c r="W153" s="2">
        <f t="shared" si="30"/>
        <v>68</v>
      </c>
    </row>
    <row r="154" spans="1:23" ht="12.75">
      <c r="A154">
        <v>1</v>
      </c>
      <c r="B154">
        <v>150</v>
      </c>
      <c r="C154" s="2">
        <f t="shared" si="34"/>
        <v>100.61538461538461</v>
      </c>
      <c r="D154" s="2">
        <f t="shared" si="35"/>
        <v>1.3846153846153846</v>
      </c>
      <c r="E154" s="2">
        <f t="shared" si="36"/>
        <v>10.061538461538461</v>
      </c>
      <c r="F154" s="2">
        <f t="shared" si="37"/>
        <v>0.13846153846153847</v>
      </c>
      <c r="G154" s="9">
        <f>_XLL.RISKOUTPUT(,"Contaminated food products during a shift",151)+D154/(C154+D154)</f>
        <v>0.013574660633484163</v>
      </c>
      <c r="H154" s="2">
        <f>IF(C154&lt;1,0,_XLL.RISKBINOMIAL(ROUND(C154,0),I154))</f>
        <v>0</v>
      </c>
      <c r="I154" s="8">
        <f t="shared" si="38"/>
        <v>5.569062148913506E-05</v>
      </c>
      <c r="J154" s="2">
        <f t="shared" si="31"/>
        <v>1220.7418090519864</v>
      </c>
      <c r="K154" s="2">
        <f t="shared" si="32"/>
        <v>3.2581909480136027</v>
      </c>
      <c r="L154" s="10">
        <f>_XLL.RISKOUTPUT(,"Contaminated food contact surfaces during a shift",151)+K154/(J154+K154)</f>
        <v>0.00266192070916144</v>
      </c>
      <c r="M154" s="2">
        <f>IF(J154&lt;1,0,_XLL.RISKBINOMIAL(ROUND(J154,0),N154))</f>
        <v>0</v>
      </c>
      <c r="N154" s="11">
        <f t="shared" si="39"/>
        <v>1.3308466217609727E-05</v>
      </c>
      <c r="O154" s="2">
        <f t="shared" si="40"/>
        <v>68</v>
      </c>
      <c r="P154" s="2">
        <f t="shared" si="41"/>
        <v>0</v>
      </c>
      <c r="Q154" s="10">
        <f>_XLL.RISKOUTPUT(,"Contaminated gloves during a shift",151)+P154/(O154+P154)</f>
        <v>0</v>
      </c>
      <c r="R154" s="2">
        <f>IF(O154&lt;1,0,_XLL.RISKBINOMIAL(ROUND(O154,0),S154))</f>
        <v>0</v>
      </c>
      <c r="S154" s="11">
        <f t="shared" si="33"/>
        <v>0.0002337817386286467</v>
      </c>
      <c r="U154" s="2">
        <f t="shared" si="28"/>
        <v>102</v>
      </c>
      <c r="V154" s="2">
        <f t="shared" si="29"/>
        <v>1224</v>
      </c>
      <c r="W154" s="2">
        <f t="shared" si="30"/>
        <v>68</v>
      </c>
    </row>
    <row r="155" spans="1:23" ht="12.75">
      <c r="A155">
        <v>1</v>
      </c>
      <c r="B155">
        <v>151</v>
      </c>
      <c r="C155" s="2">
        <f t="shared" si="34"/>
        <v>100.61538461538461</v>
      </c>
      <c r="D155" s="2">
        <f t="shared" si="35"/>
        <v>1.3846153846153846</v>
      </c>
      <c r="E155" s="2">
        <f t="shared" si="36"/>
        <v>10.061538461538461</v>
      </c>
      <c r="F155" s="2">
        <f t="shared" si="37"/>
        <v>0.13846153846153847</v>
      </c>
      <c r="G155" s="9">
        <f>_XLL.RISKOUTPUT(,"Contaminated food products during a shift",152)+D155/(C155+D155)</f>
        <v>0.013574660633484163</v>
      </c>
      <c r="H155" s="2">
        <f>IF(C155&lt;1,0,_XLL.RISKBINOMIAL(ROUND(C155,0),I155))</f>
        <v>0</v>
      </c>
      <c r="I155" s="8">
        <f t="shared" si="38"/>
        <v>5.569062148913506E-05</v>
      </c>
      <c r="J155" s="2">
        <f t="shared" si="31"/>
        <v>1220.7418090519864</v>
      </c>
      <c r="K155" s="2">
        <f t="shared" si="32"/>
        <v>3.2581909480136027</v>
      </c>
      <c r="L155" s="10">
        <f>_XLL.RISKOUTPUT(,"Contaminated food contact surfaces during a shift",152)+K155/(J155+K155)</f>
        <v>0.00266192070916144</v>
      </c>
      <c r="M155" s="2">
        <f>IF(J155&lt;1,0,_XLL.RISKBINOMIAL(ROUND(J155,0),N155))</f>
        <v>0</v>
      </c>
      <c r="N155" s="11">
        <f t="shared" si="39"/>
        <v>1.3308466217609727E-05</v>
      </c>
      <c r="O155" s="2">
        <f t="shared" si="40"/>
        <v>68</v>
      </c>
      <c r="P155" s="2">
        <f t="shared" si="41"/>
        <v>0</v>
      </c>
      <c r="Q155" s="10">
        <f>_XLL.RISKOUTPUT(,"Contaminated gloves during a shift",152)+P155/(O155+P155)</f>
        <v>0</v>
      </c>
      <c r="R155" s="2">
        <f>IF(O155&lt;1,0,_XLL.RISKBINOMIAL(ROUND(O155,0),S155))</f>
        <v>0</v>
      </c>
      <c r="S155" s="11">
        <f t="shared" si="33"/>
        <v>0.0002337817386286467</v>
      </c>
      <c r="U155" s="2">
        <f t="shared" si="28"/>
        <v>102</v>
      </c>
      <c r="V155" s="2">
        <f t="shared" si="29"/>
        <v>1224</v>
      </c>
      <c r="W155" s="2">
        <f t="shared" si="30"/>
        <v>68</v>
      </c>
    </row>
    <row r="156" spans="1:23" ht="12.75">
      <c r="A156">
        <v>1</v>
      </c>
      <c r="B156">
        <v>152</v>
      </c>
      <c r="C156" s="2">
        <f t="shared" si="34"/>
        <v>100.61538461538461</v>
      </c>
      <c r="D156" s="2">
        <f t="shared" si="35"/>
        <v>1.3846153846153846</v>
      </c>
      <c r="E156" s="2">
        <f t="shared" si="36"/>
        <v>10.061538461538461</v>
      </c>
      <c r="F156" s="2">
        <f t="shared" si="37"/>
        <v>0.13846153846153847</v>
      </c>
      <c r="G156" s="9">
        <f>_XLL.RISKOUTPUT(,"Contaminated food products during a shift",153)+D156/(C156+D156)</f>
        <v>0.013574660633484163</v>
      </c>
      <c r="H156" s="2">
        <f>IF(C156&lt;1,0,_XLL.RISKBINOMIAL(ROUND(C156,0),I156))</f>
        <v>0</v>
      </c>
      <c r="I156" s="8">
        <f t="shared" si="38"/>
        <v>5.569062148913506E-05</v>
      </c>
      <c r="J156" s="2">
        <f t="shared" si="31"/>
        <v>1220.7418090519864</v>
      </c>
      <c r="K156" s="2">
        <f t="shared" si="32"/>
        <v>3.2581909480136027</v>
      </c>
      <c r="L156" s="10">
        <f>_XLL.RISKOUTPUT(,"Contaminated food contact surfaces during a shift",153)+K156/(J156+K156)</f>
        <v>0.00266192070916144</v>
      </c>
      <c r="M156" s="2">
        <f>IF(J156&lt;1,0,_XLL.RISKBINOMIAL(ROUND(J156,0),N156))</f>
        <v>0</v>
      </c>
      <c r="N156" s="11">
        <f t="shared" si="39"/>
        <v>1.3308466217609727E-05</v>
      </c>
      <c r="O156" s="2">
        <f t="shared" si="40"/>
        <v>68</v>
      </c>
      <c r="P156" s="2">
        <f t="shared" si="41"/>
        <v>0</v>
      </c>
      <c r="Q156" s="10">
        <f>_XLL.RISKOUTPUT(,"Contaminated gloves during a shift",153)+P156/(O156+P156)</f>
        <v>0</v>
      </c>
      <c r="R156" s="2">
        <f>IF(O156&lt;1,0,_XLL.RISKBINOMIAL(ROUND(O156,0),S156))</f>
        <v>0</v>
      </c>
      <c r="S156" s="11">
        <f t="shared" si="33"/>
        <v>0.0002337817386286467</v>
      </c>
      <c r="U156" s="2">
        <f t="shared" si="28"/>
        <v>102</v>
      </c>
      <c r="V156" s="2">
        <f t="shared" si="29"/>
        <v>1224</v>
      </c>
      <c r="W156" s="2">
        <f t="shared" si="30"/>
        <v>68</v>
      </c>
    </row>
    <row r="157" spans="1:23" ht="12.75">
      <c r="A157">
        <v>1</v>
      </c>
      <c r="B157">
        <v>153</v>
      </c>
      <c r="C157" s="2">
        <f t="shared" si="34"/>
        <v>100.61538461538461</v>
      </c>
      <c r="D157" s="2">
        <f t="shared" si="35"/>
        <v>1.3846153846153846</v>
      </c>
      <c r="E157" s="2">
        <f t="shared" si="36"/>
        <v>10.061538461538461</v>
      </c>
      <c r="F157" s="2">
        <f t="shared" si="37"/>
        <v>0.13846153846153847</v>
      </c>
      <c r="G157" s="9">
        <f>_XLL.RISKOUTPUT(,"Contaminated food products during a shift",154)+D157/(C157+D157)</f>
        <v>0.013574660633484163</v>
      </c>
      <c r="H157" s="2">
        <f>IF(C157&lt;1,0,_XLL.RISKBINOMIAL(ROUND(C157,0),I157))</f>
        <v>0</v>
      </c>
      <c r="I157" s="8">
        <f t="shared" si="38"/>
        <v>5.569062148913506E-05</v>
      </c>
      <c r="J157" s="2">
        <f t="shared" si="31"/>
        <v>1220.7418090519864</v>
      </c>
      <c r="K157" s="2">
        <f t="shared" si="32"/>
        <v>3.2581909480136027</v>
      </c>
      <c r="L157" s="10">
        <f>_XLL.RISKOUTPUT(,"Contaminated food contact surfaces during a shift",154)+K157/(J157+K157)</f>
        <v>0.00266192070916144</v>
      </c>
      <c r="M157" s="2">
        <f>IF(J157&lt;1,0,_XLL.RISKBINOMIAL(ROUND(J157,0),N157))</f>
        <v>0</v>
      </c>
      <c r="N157" s="11">
        <f t="shared" si="39"/>
        <v>1.3308466217609727E-05</v>
      </c>
      <c r="O157" s="2">
        <f t="shared" si="40"/>
        <v>68</v>
      </c>
      <c r="P157" s="2">
        <f t="shared" si="41"/>
        <v>0</v>
      </c>
      <c r="Q157" s="10">
        <f>_XLL.RISKOUTPUT(,"Contaminated gloves during a shift",154)+P157/(O157+P157)</f>
        <v>0</v>
      </c>
      <c r="R157" s="2">
        <f>IF(O157&lt;1,0,_XLL.RISKBINOMIAL(ROUND(O157,0),S157))</f>
        <v>0</v>
      </c>
      <c r="S157" s="11">
        <f t="shared" si="33"/>
        <v>0.0002337817386286467</v>
      </c>
      <c r="U157" s="2">
        <f t="shared" si="28"/>
        <v>102</v>
      </c>
      <c r="V157" s="2">
        <f t="shared" si="29"/>
        <v>1224</v>
      </c>
      <c r="W157" s="2">
        <f t="shared" si="30"/>
        <v>68</v>
      </c>
    </row>
    <row r="158" spans="1:23" ht="12.75">
      <c r="A158">
        <v>1</v>
      </c>
      <c r="B158">
        <v>154</v>
      </c>
      <c r="C158" s="2">
        <f t="shared" si="34"/>
        <v>100.61538461538461</v>
      </c>
      <c r="D158" s="2">
        <f t="shared" si="35"/>
        <v>1.3846153846153846</v>
      </c>
      <c r="E158" s="2">
        <f t="shared" si="36"/>
        <v>10.061538461538461</v>
      </c>
      <c r="F158" s="2">
        <f t="shared" si="37"/>
        <v>0.13846153846153847</v>
      </c>
      <c r="G158" s="9">
        <f>_XLL.RISKOUTPUT(,"Contaminated food products during a shift",155)+D158/(C158+D158)</f>
        <v>0.013574660633484163</v>
      </c>
      <c r="H158" s="2">
        <f>IF(C158&lt;1,0,_XLL.RISKBINOMIAL(ROUND(C158,0),I158))</f>
        <v>0</v>
      </c>
      <c r="I158" s="8">
        <f t="shared" si="38"/>
        <v>5.569062148913506E-05</v>
      </c>
      <c r="J158" s="2">
        <f t="shared" si="31"/>
        <v>1220.7418090519864</v>
      </c>
      <c r="K158" s="2">
        <f t="shared" si="32"/>
        <v>3.2581909480136027</v>
      </c>
      <c r="L158" s="10">
        <f>_XLL.RISKOUTPUT(,"Contaminated food contact surfaces during a shift",155)+K158/(J158+K158)</f>
        <v>0.00266192070916144</v>
      </c>
      <c r="M158" s="2">
        <f>IF(J158&lt;1,0,_XLL.RISKBINOMIAL(ROUND(J158,0),N158))</f>
        <v>0</v>
      </c>
      <c r="N158" s="11">
        <f t="shared" si="39"/>
        <v>1.3308466217609727E-05</v>
      </c>
      <c r="O158" s="2">
        <f t="shared" si="40"/>
        <v>68</v>
      </c>
      <c r="P158" s="2">
        <f t="shared" si="41"/>
        <v>0</v>
      </c>
      <c r="Q158" s="10">
        <f>_XLL.RISKOUTPUT(,"Contaminated gloves during a shift",155)+P158/(O158+P158)</f>
        <v>0</v>
      </c>
      <c r="R158" s="2">
        <f>IF(O158&lt;1,0,_XLL.RISKBINOMIAL(ROUND(O158,0),S158))</f>
        <v>0</v>
      </c>
      <c r="S158" s="11">
        <f t="shared" si="33"/>
        <v>0.0002337817386286467</v>
      </c>
      <c r="U158" s="2">
        <f t="shared" si="28"/>
        <v>102</v>
      </c>
      <c r="V158" s="2">
        <f t="shared" si="29"/>
        <v>1224</v>
      </c>
      <c r="W158" s="2">
        <f t="shared" si="30"/>
        <v>68</v>
      </c>
    </row>
    <row r="159" spans="1:23" ht="12.75">
      <c r="A159">
        <v>1</v>
      </c>
      <c r="B159">
        <v>155</v>
      </c>
      <c r="C159" s="2">
        <f t="shared" si="34"/>
        <v>100.61538461538461</v>
      </c>
      <c r="D159" s="2">
        <f t="shared" si="35"/>
        <v>1.3846153846153846</v>
      </c>
      <c r="E159" s="2">
        <f t="shared" si="36"/>
        <v>10.061538461538461</v>
      </c>
      <c r="F159" s="2">
        <f t="shared" si="37"/>
        <v>0.13846153846153847</v>
      </c>
      <c r="G159" s="9">
        <f>_XLL.RISKOUTPUT(,"Contaminated food products during a shift",156)+D159/(C159+D159)</f>
        <v>0.013574660633484163</v>
      </c>
      <c r="H159" s="2">
        <f>IF(C159&lt;1,0,_XLL.RISKBINOMIAL(ROUND(C159,0),I159))</f>
        <v>0</v>
      </c>
      <c r="I159" s="8">
        <f t="shared" si="38"/>
        <v>5.569062148913506E-05</v>
      </c>
      <c r="J159" s="2">
        <f t="shared" si="31"/>
        <v>1220.7418090519864</v>
      </c>
      <c r="K159" s="2">
        <f t="shared" si="32"/>
        <v>3.2581909480136027</v>
      </c>
      <c r="L159" s="10">
        <f>_XLL.RISKOUTPUT(,"Contaminated food contact surfaces during a shift",156)+K159/(J159+K159)</f>
        <v>0.00266192070916144</v>
      </c>
      <c r="M159" s="2">
        <f>IF(J159&lt;1,0,_XLL.RISKBINOMIAL(ROUND(J159,0),N159))</f>
        <v>0</v>
      </c>
      <c r="N159" s="11">
        <f t="shared" si="39"/>
        <v>1.3308466217609727E-05</v>
      </c>
      <c r="O159" s="2">
        <f t="shared" si="40"/>
        <v>68</v>
      </c>
      <c r="P159" s="2">
        <f t="shared" si="41"/>
        <v>0</v>
      </c>
      <c r="Q159" s="10">
        <f>_XLL.RISKOUTPUT(,"Contaminated gloves during a shift",156)+P159/(O159+P159)</f>
        <v>0</v>
      </c>
      <c r="R159" s="2">
        <f>IF(O159&lt;1,0,_XLL.RISKBINOMIAL(ROUND(O159,0),S159))</f>
        <v>0</v>
      </c>
      <c r="S159" s="11">
        <f t="shared" si="33"/>
        <v>0.0002337817386286467</v>
      </c>
      <c r="U159" s="2">
        <f t="shared" si="28"/>
        <v>102</v>
      </c>
      <c r="V159" s="2">
        <f t="shared" si="29"/>
        <v>1224</v>
      </c>
      <c r="W159" s="2">
        <f t="shared" si="30"/>
        <v>68</v>
      </c>
    </row>
    <row r="160" spans="1:23" ht="12.75">
      <c r="A160">
        <v>1</v>
      </c>
      <c r="B160">
        <v>156</v>
      </c>
      <c r="C160" s="2">
        <f t="shared" si="34"/>
        <v>100.61538461538461</v>
      </c>
      <c r="D160" s="2">
        <f t="shared" si="35"/>
        <v>1.3846153846153846</v>
      </c>
      <c r="E160" s="2">
        <f t="shared" si="36"/>
        <v>10.061538461538461</v>
      </c>
      <c r="F160" s="2">
        <f t="shared" si="37"/>
        <v>0.13846153846153847</v>
      </c>
      <c r="G160" s="9">
        <f>_XLL.RISKOUTPUT(,"Contaminated food products during a shift",157)+D160/(C160+D160)</f>
        <v>0.013574660633484163</v>
      </c>
      <c r="H160" s="2">
        <f>IF(C160&lt;1,0,_XLL.RISKBINOMIAL(ROUND(C160,0),I160))</f>
        <v>0</v>
      </c>
      <c r="I160" s="8">
        <f t="shared" si="38"/>
        <v>5.569062148913506E-05</v>
      </c>
      <c r="J160" s="2">
        <f t="shared" si="31"/>
        <v>1220.7418090519864</v>
      </c>
      <c r="K160" s="2">
        <f t="shared" si="32"/>
        <v>3.2581909480136027</v>
      </c>
      <c r="L160" s="10">
        <f>_XLL.RISKOUTPUT(,"Contaminated food contact surfaces during a shift",157)+K160/(J160+K160)</f>
        <v>0.00266192070916144</v>
      </c>
      <c r="M160" s="2">
        <f>IF(J160&lt;1,0,_XLL.RISKBINOMIAL(ROUND(J160,0),N160))</f>
        <v>0</v>
      </c>
      <c r="N160" s="11">
        <f t="shared" si="39"/>
        <v>1.3308466217609727E-05</v>
      </c>
      <c r="O160" s="2">
        <f t="shared" si="40"/>
        <v>68</v>
      </c>
      <c r="P160" s="2">
        <f t="shared" si="41"/>
        <v>0</v>
      </c>
      <c r="Q160" s="10">
        <f>_XLL.RISKOUTPUT(,"Contaminated gloves during a shift",157)+P160/(O160+P160)</f>
        <v>0</v>
      </c>
      <c r="R160" s="2">
        <f>IF(O160&lt;1,0,_XLL.RISKBINOMIAL(ROUND(O160,0),S160))</f>
        <v>0</v>
      </c>
      <c r="S160" s="11">
        <f t="shared" si="33"/>
        <v>0.0002337817386286467</v>
      </c>
      <c r="U160" s="2">
        <f t="shared" si="28"/>
        <v>102</v>
      </c>
      <c r="V160" s="2">
        <f t="shared" si="29"/>
        <v>1224</v>
      </c>
      <c r="W160" s="2">
        <f t="shared" si="30"/>
        <v>68</v>
      </c>
    </row>
    <row r="161" spans="1:23" ht="12.75">
      <c r="A161">
        <v>1</v>
      </c>
      <c r="B161">
        <v>157</v>
      </c>
      <c r="C161" s="2">
        <f t="shared" si="34"/>
        <v>100.61538461538461</v>
      </c>
      <c r="D161" s="2">
        <f t="shared" si="35"/>
        <v>1.3846153846153846</v>
      </c>
      <c r="E161" s="2">
        <f t="shared" si="36"/>
        <v>10.061538461538461</v>
      </c>
      <c r="F161" s="2">
        <f t="shared" si="37"/>
        <v>0.13846153846153847</v>
      </c>
      <c r="G161" s="9">
        <f>_XLL.RISKOUTPUT(,"Contaminated food products during a shift",158)+D161/(C161+D161)</f>
        <v>0.013574660633484163</v>
      </c>
      <c r="H161" s="2">
        <f>IF(C161&lt;1,0,_XLL.RISKBINOMIAL(ROUND(C161,0),I161))</f>
        <v>0</v>
      </c>
      <c r="I161" s="8">
        <f t="shared" si="38"/>
        <v>5.569062148913506E-05</v>
      </c>
      <c r="J161" s="2">
        <f t="shared" si="31"/>
        <v>1220.7418090519864</v>
      </c>
      <c r="K161" s="2">
        <f t="shared" si="32"/>
        <v>3.2581909480136027</v>
      </c>
      <c r="L161" s="10">
        <f>_XLL.RISKOUTPUT(,"Contaminated food contact surfaces during a shift",158)+K161/(J161+K161)</f>
        <v>0.00266192070916144</v>
      </c>
      <c r="M161" s="2">
        <f>IF(J161&lt;1,0,_XLL.RISKBINOMIAL(ROUND(J161,0),N161))</f>
        <v>0</v>
      </c>
      <c r="N161" s="11">
        <f t="shared" si="39"/>
        <v>1.3308466217609727E-05</v>
      </c>
      <c r="O161" s="2">
        <f t="shared" si="40"/>
        <v>68</v>
      </c>
      <c r="P161" s="2">
        <f t="shared" si="41"/>
        <v>0</v>
      </c>
      <c r="Q161" s="10">
        <f>_XLL.RISKOUTPUT(,"Contaminated gloves during a shift",158)+P161/(O161+P161)</f>
        <v>0</v>
      </c>
      <c r="R161" s="2">
        <f>IF(O161&lt;1,0,_XLL.RISKBINOMIAL(ROUND(O161,0),S161))</f>
        <v>0</v>
      </c>
      <c r="S161" s="11">
        <f t="shared" si="33"/>
        <v>0.0002337817386286467</v>
      </c>
      <c r="U161" s="2">
        <f t="shared" si="28"/>
        <v>102</v>
      </c>
      <c r="V161" s="2">
        <f t="shared" si="29"/>
        <v>1224</v>
      </c>
      <c r="W161" s="2">
        <f t="shared" si="30"/>
        <v>68</v>
      </c>
    </row>
    <row r="162" spans="1:23" ht="12.75">
      <c r="A162">
        <v>1</v>
      </c>
      <c r="B162">
        <v>158</v>
      </c>
      <c r="C162" s="2">
        <f t="shared" si="34"/>
        <v>100.61538461538461</v>
      </c>
      <c r="D162" s="2">
        <f t="shared" si="35"/>
        <v>1.3846153846153846</v>
      </c>
      <c r="E162" s="2">
        <f t="shared" si="36"/>
        <v>10.061538461538461</v>
      </c>
      <c r="F162" s="2">
        <f t="shared" si="37"/>
        <v>0.13846153846153847</v>
      </c>
      <c r="G162" s="9">
        <f>_XLL.RISKOUTPUT(,"Contaminated food products during a shift",159)+D162/(C162+D162)</f>
        <v>0.013574660633484163</v>
      </c>
      <c r="H162" s="2">
        <f>IF(C162&lt;1,0,_XLL.RISKBINOMIAL(ROUND(C162,0),I162))</f>
        <v>0</v>
      </c>
      <c r="I162" s="8">
        <f t="shared" si="38"/>
        <v>5.569062148913506E-05</v>
      </c>
      <c r="J162" s="2">
        <f t="shared" si="31"/>
        <v>1220.7418090519864</v>
      </c>
      <c r="K162" s="2">
        <f t="shared" si="32"/>
        <v>3.2581909480136027</v>
      </c>
      <c r="L162" s="10">
        <f>_XLL.RISKOUTPUT(,"Contaminated food contact surfaces during a shift",159)+K162/(J162+K162)</f>
        <v>0.00266192070916144</v>
      </c>
      <c r="M162" s="2">
        <f>IF(J162&lt;1,0,_XLL.RISKBINOMIAL(ROUND(J162,0),N162))</f>
        <v>0</v>
      </c>
      <c r="N162" s="11">
        <f t="shared" si="39"/>
        <v>1.3308466217609727E-05</v>
      </c>
      <c r="O162" s="2">
        <f t="shared" si="40"/>
        <v>68</v>
      </c>
      <c r="P162" s="2">
        <f t="shared" si="41"/>
        <v>0</v>
      </c>
      <c r="Q162" s="10">
        <f>_XLL.RISKOUTPUT(,"Contaminated gloves during a shift",159)+P162/(O162+P162)</f>
        <v>0</v>
      </c>
      <c r="R162" s="2">
        <f>IF(O162&lt;1,0,_XLL.RISKBINOMIAL(ROUND(O162,0),S162))</f>
        <v>0</v>
      </c>
      <c r="S162" s="11">
        <f t="shared" si="33"/>
        <v>0.0002337817386286467</v>
      </c>
      <c r="U162" s="2">
        <f t="shared" si="28"/>
        <v>102</v>
      </c>
      <c r="V162" s="2">
        <f t="shared" si="29"/>
        <v>1224</v>
      </c>
      <c r="W162" s="2">
        <f t="shared" si="30"/>
        <v>68</v>
      </c>
    </row>
    <row r="163" spans="1:23" ht="12.75">
      <c r="A163">
        <v>1</v>
      </c>
      <c r="B163">
        <v>159</v>
      </c>
      <c r="C163" s="2">
        <f t="shared" si="34"/>
        <v>100.61538461538461</v>
      </c>
      <c r="D163" s="2">
        <f t="shared" si="35"/>
        <v>1.3846153846153846</v>
      </c>
      <c r="E163" s="2">
        <f t="shared" si="36"/>
        <v>10.061538461538461</v>
      </c>
      <c r="F163" s="2">
        <f t="shared" si="37"/>
        <v>0.13846153846153847</v>
      </c>
      <c r="G163" s="9">
        <f>_XLL.RISKOUTPUT(,"Contaminated food products during a shift",160)+D163/(C163+D163)</f>
        <v>0.013574660633484163</v>
      </c>
      <c r="H163" s="2">
        <f>IF(C163&lt;1,0,_XLL.RISKBINOMIAL(ROUND(C163,0),I163))</f>
        <v>0</v>
      </c>
      <c r="I163" s="8">
        <f t="shared" si="38"/>
        <v>5.569062148913506E-05</v>
      </c>
      <c r="J163" s="2">
        <f t="shared" si="31"/>
        <v>1220.7418090519864</v>
      </c>
      <c r="K163" s="2">
        <f t="shared" si="32"/>
        <v>3.2581909480136027</v>
      </c>
      <c r="L163" s="10">
        <f>_XLL.RISKOUTPUT(,"Contaminated food contact surfaces during a shift",160)+K163/(J163+K163)</f>
        <v>0.00266192070916144</v>
      </c>
      <c r="M163" s="2">
        <f>IF(J163&lt;1,0,_XLL.RISKBINOMIAL(ROUND(J163,0),N163))</f>
        <v>0</v>
      </c>
      <c r="N163" s="11">
        <f t="shared" si="39"/>
        <v>1.3308466217609727E-05</v>
      </c>
      <c r="O163" s="2">
        <f t="shared" si="40"/>
        <v>68</v>
      </c>
      <c r="P163" s="2">
        <f t="shared" si="41"/>
        <v>0</v>
      </c>
      <c r="Q163" s="10">
        <f>_XLL.RISKOUTPUT(,"Contaminated gloves during a shift",160)+P163/(O163+P163)</f>
        <v>0</v>
      </c>
      <c r="R163" s="2">
        <f>IF(O163&lt;1,0,_XLL.RISKBINOMIAL(ROUND(O163,0),S163))</f>
        <v>0</v>
      </c>
      <c r="S163" s="11">
        <f t="shared" si="33"/>
        <v>0.0002337817386286467</v>
      </c>
      <c r="U163" s="2">
        <f t="shared" si="28"/>
        <v>102</v>
      </c>
      <c r="V163" s="2">
        <f t="shared" si="29"/>
        <v>1224</v>
      </c>
      <c r="W163" s="2">
        <f t="shared" si="30"/>
        <v>68</v>
      </c>
    </row>
    <row r="164" spans="1:23" ht="12.75">
      <c r="A164">
        <v>1</v>
      </c>
      <c r="B164">
        <v>160</v>
      </c>
      <c r="C164" s="2">
        <f t="shared" si="34"/>
        <v>100.61538461538461</v>
      </c>
      <c r="D164" s="2">
        <f t="shared" si="35"/>
        <v>1.3846153846153846</v>
      </c>
      <c r="E164" s="2">
        <f t="shared" si="36"/>
        <v>10.061538461538461</v>
      </c>
      <c r="F164" s="2">
        <f t="shared" si="37"/>
        <v>0.13846153846153847</v>
      </c>
      <c r="G164" s="9">
        <f>_XLL.RISKOUTPUT(,"Contaminated food products during a shift",161)+D164/(C164+D164)</f>
        <v>0.013574660633484163</v>
      </c>
      <c r="H164" s="2">
        <f>IF(C164&lt;1,0,_XLL.RISKBINOMIAL(ROUND(C164,0),I164))</f>
        <v>0</v>
      </c>
      <c r="I164" s="8">
        <f t="shared" si="38"/>
        <v>5.569062148913506E-05</v>
      </c>
      <c r="J164" s="2">
        <f t="shared" si="31"/>
        <v>1220.7418090519864</v>
      </c>
      <c r="K164" s="2">
        <f t="shared" si="32"/>
        <v>3.2581909480136027</v>
      </c>
      <c r="L164" s="10">
        <f>_XLL.RISKOUTPUT(,"Contaminated food contact surfaces during a shift",161)+K164/(J164+K164)</f>
        <v>0.00266192070916144</v>
      </c>
      <c r="M164" s="2">
        <f>IF(J164&lt;1,0,_XLL.RISKBINOMIAL(ROUND(J164,0),N164))</f>
        <v>0</v>
      </c>
      <c r="N164" s="11">
        <f t="shared" si="39"/>
        <v>1.3308466217609727E-05</v>
      </c>
      <c r="O164" s="2">
        <f t="shared" si="40"/>
        <v>68</v>
      </c>
      <c r="P164" s="2">
        <f t="shared" si="41"/>
        <v>0</v>
      </c>
      <c r="Q164" s="10">
        <f>_XLL.RISKOUTPUT(,"Contaminated gloves during a shift",161)+P164/(O164+P164)</f>
        <v>0</v>
      </c>
      <c r="R164" s="2">
        <f>IF(O164&lt;1,0,_XLL.RISKBINOMIAL(ROUND(O164,0),S164))</f>
        <v>0</v>
      </c>
      <c r="S164" s="11">
        <f t="shared" si="33"/>
        <v>0.0002337817386286467</v>
      </c>
      <c r="U164" s="2">
        <f t="shared" si="28"/>
        <v>102</v>
      </c>
      <c r="V164" s="2">
        <f t="shared" si="29"/>
        <v>1224</v>
      </c>
      <c r="W164" s="2">
        <f t="shared" si="30"/>
        <v>68</v>
      </c>
    </row>
    <row r="165" spans="1:23" ht="12.75">
      <c r="A165">
        <v>1</v>
      </c>
      <c r="B165">
        <v>161</v>
      </c>
      <c r="C165" s="2">
        <f t="shared" si="34"/>
        <v>100.61538461538461</v>
      </c>
      <c r="D165" s="2">
        <f t="shared" si="35"/>
        <v>1.3846153846153846</v>
      </c>
      <c r="E165" s="2">
        <f t="shared" si="36"/>
        <v>10.061538461538461</v>
      </c>
      <c r="F165" s="2">
        <f t="shared" si="37"/>
        <v>0.13846153846153847</v>
      </c>
      <c r="G165" s="9">
        <f>_XLL.RISKOUTPUT(,"Contaminated food products during a shift",162)+D165/(C165+D165)</f>
        <v>0.013574660633484163</v>
      </c>
      <c r="H165" s="2">
        <f>IF(C165&lt;1,0,_XLL.RISKBINOMIAL(ROUND(C165,0),I165))</f>
        <v>0</v>
      </c>
      <c r="I165" s="8">
        <f t="shared" si="38"/>
        <v>5.569062148913506E-05</v>
      </c>
      <c r="J165" s="2">
        <f t="shared" si="31"/>
        <v>1220.7418090519864</v>
      </c>
      <c r="K165" s="2">
        <f t="shared" si="32"/>
        <v>3.2581909480136027</v>
      </c>
      <c r="L165" s="10">
        <f>_XLL.RISKOUTPUT(,"Contaminated food contact surfaces during a shift",162)+K165/(J165+K165)</f>
        <v>0.00266192070916144</v>
      </c>
      <c r="M165" s="2">
        <f>IF(J165&lt;1,0,_XLL.RISKBINOMIAL(ROUND(J165,0),N165))</f>
        <v>0</v>
      </c>
      <c r="N165" s="11">
        <f t="shared" si="39"/>
        <v>1.3308466217609727E-05</v>
      </c>
      <c r="O165" s="2">
        <f t="shared" si="40"/>
        <v>68</v>
      </c>
      <c r="P165" s="2">
        <f t="shared" si="41"/>
        <v>0</v>
      </c>
      <c r="Q165" s="10">
        <f>_XLL.RISKOUTPUT(,"Contaminated gloves during a shift",162)+P165/(O165+P165)</f>
        <v>0</v>
      </c>
      <c r="R165" s="2">
        <f>IF(O165&lt;1,0,_XLL.RISKBINOMIAL(ROUND(O165,0),S165))</f>
        <v>0</v>
      </c>
      <c r="S165" s="11">
        <f t="shared" si="33"/>
        <v>0.0002337817386286467</v>
      </c>
      <c r="U165" s="2">
        <f t="shared" si="28"/>
        <v>102</v>
      </c>
      <c r="V165" s="2">
        <f t="shared" si="29"/>
        <v>1224</v>
      </c>
      <c r="W165" s="2">
        <f t="shared" si="30"/>
        <v>68</v>
      </c>
    </row>
    <row r="166" spans="1:23" ht="12.75">
      <c r="A166">
        <v>1</v>
      </c>
      <c r="B166">
        <v>162</v>
      </c>
      <c r="C166" s="2">
        <f t="shared" si="34"/>
        <v>100.61538461538461</v>
      </c>
      <c r="D166" s="2">
        <f t="shared" si="35"/>
        <v>1.3846153846153846</v>
      </c>
      <c r="E166" s="2">
        <f t="shared" si="36"/>
        <v>10.061538461538461</v>
      </c>
      <c r="F166" s="2">
        <f t="shared" si="37"/>
        <v>0.13846153846153847</v>
      </c>
      <c r="G166" s="9">
        <f>_XLL.RISKOUTPUT(,"Contaminated food products during a shift",163)+D166/(C166+D166)</f>
        <v>0.013574660633484163</v>
      </c>
      <c r="H166" s="2">
        <f>IF(C166&lt;1,0,_XLL.RISKBINOMIAL(ROUND(C166,0),I166))</f>
        <v>0</v>
      </c>
      <c r="I166" s="8">
        <f t="shared" si="38"/>
        <v>5.569062148913506E-05</v>
      </c>
      <c r="J166" s="2">
        <f t="shared" si="31"/>
        <v>1220.7418090519864</v>
      </c>
      <c r="K166" s="2">
        <f t="shared" si="32"/>
        <v>3.2581909480136027</v>
      </c>
      <c r="L166" s="10">
        <f>_XLL.RISKOUTPUT(,"Contaminated food contact surfaces during a shift",163)+K166/(J166+K166)</f>
        <v>0.00266192070916144</v>
      </c>
      <c r="M166" s="2">
        <f>IF(J166&lt;1,0,_XLL.RISKBINOMIAL(ROUND(J166,0),N166))</f>
        <v>0</v>
      </c>
      <c r="N166" s="11">
        <f t="shared" si="39"/>
        <v>1.3308466217609727E-05</v>
      </c>
      <c r="O166" s="2">
        <f t="shared" si="40"/>
        <v>68</v>
      </c>
      <c r="P166" s="2">
        <f t="shared" si="41"/>
        <v>0</v>
      </c>
      <c r="Q166" s="10">
        <f>_XLL.RISKOUTPUT(,"Contaminated gloves during a shift",163)+P166/(O166+P166)</f>
        <v>0</v>
      </c>
      <c r="R166" s="2">
        <f>IF(O166&lt;1,0,_XLL.RISKBINOMIAL(ROUND(O166,0),S166))</f>
        <v>0</v>
      </c>
      <c r="S166" s="11">
        <f t="shared" si="33"/>
        <v>0.0002337817386286467</v>
      </c>
      <c r="U166" s="2">
        <f t="shared" si="28"/>
        <v>102</v>
      </c>
      <c r="V166" s="2">
        <f t="shared" si="29"/>
        <v>1224</v>
      </c>
      <c r="W166" s="2">
        <f t="shared" si="30"/>
        <v>68</v>
      </c>
    </row>
    <row r="167" spans="1:23" ht="12.75">
      <c r="A167">
        <v>1</v>
      </c>
      <c r="B167">
        <v>163</v>
      </c>
      <c r="C167" s="2">
        <f t="shared" si="34"/>
        <v>100.61538461538461</v>
      </c>
      <c r="D167" s="2">
        <f t="shared" si="35"/>
        <v>1.3846153846153846</v>
      </c>
      <c r="E167" s="2">
        <f t="shared" si="36"/>
        <v>10.061538461538461</v>
      </c>
      <c r="F167" s="2">
        <f t="shared" si="37"/>
        <v>0.13846153846153847</v>
      </c>
      <c r="G167" s="9">
        <f>_XLL.RISKOUTPUT(,"Contaminated food products during a shift",164)+D167/(C167+D167)</f>
        <v>0.013574660633484163</v>
      </c>
      <c r="H167" s="2">
        <f>IF(C167&lt;1,0,_XLL.RISKBINOMIAL(ROUND(C167,0),I167))</f>
        <v>0</v>
      </c>
      <c r="I167" s="8">
        <f t="shared" si="38"/>
        <v>5.569062148913506E-05</v>
      </c>
      <c r="J167" s="2">
        <f t="shared" si="31"/>
        <v>1220.7418090519864</v>
      </c>
      <c r="K167" s="2">
        <f t="shared" si="32"/>
        <v>3.2581909480136027</v>
      </c>
      <c r="L167" s="10">
        <f>_XLL.RISKOUTPUT(,"Contaminated food contact surfaces during a shift",164)+K167/(J167+K167)</f>
        <v>0.00266192070916144</v>
      </c>
      <c r="M167" s="2">
        <f>IF(J167&lt;1,0,_XLL.RISKBINOMIAL(ROUND(J167,0),N167))</f>
        <v>0</v>
      </c>
      <c r="N167" s="11">
        <f t="shared" si="39"/>
        <v>1.3308466217609727E-05</v>
      </c>
      <c r="O167" s="2">
        <f t="shared" si="40"/>
        <v>68</v>
      </c>
      <c r="P167" s="2">
        <f t="shared" si="41"/>
        <v>0</v>
      </c>
      <c r="Q167" s="10">
        <f>_XLL.RISKOUTPUT(,"Contaminated gloves during a shift",164)+P167/(O167+P167)</f>
        <v>0</v>
      </c>
      <c r="R167" s="2">
        <f>IF(O167&lt;1,0,_XLL.RISKBINOMIAL(ROUND(O167,0),S167))</f>
        <v>0</v>
      </c>
      <c r="S167" s="11">
        <f t="shared" si="33"/>
        <v>0.0002337817386286467</v>
      </c>
      <c r="U167" s="2">
        <f t="shared" si="28"/>
        <v>102</v>
      </c>
      <c r="V167" s="2">
        <f t="shared" si="29"/>
        <v>1224</v>
      </c>
      <c r="W167" s="2">
        <f t="shared" si="30"/>
        <v>68</v>
      </c>
    </row>
    <row r="168" spans="1:23" ht="12.75">
      <c r="A168">
        <v>1</v>
      </c>
      <c r="B168">
        <v>164</v>
      </c>
      <c r="C168" s="2">
        <f t="shared" si="34"/>
        <v>100.61538461538461</v>
      </c>
      <c r="D168" s="2">
        <f t="shared" si="35"/>
        <v>1.3846153846153846</v>
      </c>
      <c r="E168" s="2">
        <f t="shared" si="36"/>
        <v>10.061538461538461</v>
      </c>
      <c r="F168" s="2">
        <f t="shared" si="37"/>
        <v>0.13846153846153847</v>
      </c>
      <c r="G168" s="9">
        <f>_XLL.RISKOUTPUT(,"Contaminated food products during a shift",165)+D168/(C168+D168)</f>
        <v>0.013574660633484163</v>
      </c>
      <c r="H168" s="2">
        <f>IF(C168&lt;1,0,_XLL.RISKBINOMIAL(ROUND(C168,0),I168))</f>
        <v>0</v>
      </c>
      <c r="I168" s="8">
        <f t="shared" si="38"/>
        <v>5.569062148913506E-05</v>
      </c>
      <c r="J168" s="2">
        <f t="shared" si="31"/>
        <v>1220.7418090519864</v>
      </c>
      <c r="K168" s="2">
        <f t="shared" si="32"/>
        <v>3.2581909480136027</v>
      </c>
      <c r="L168" s="10">
        <f>_XLL.RISKOUTPUT(,"Contaminated food contact surfaces during a shift",165)+K168/(J168+K168)</f>
        <v>0.00266192070916144</v>
      </c>
      <c r="M168" s="2">
        <f>IF(J168&lt;1,0,_XLL.RISKBINOMIAL(ROUND(J168,0),N168))</f>
        <v>0</v>
      </c>
      <c r="N168" s="11">
        <f t="shared" si="39"/>
        <v>1.3308466217609727E-05</v>
      </c>
      <c r="O168" s="2">
        <f t="shared" si="40"/>
        <v>68</v>
      </c>
      <c r="P168" s="2">
        <f t="shared" si="41"/>
        <v>0</v>
      </c>
      <c r="Q168" s="10">
        <f>_XLL.RISKOUTPUT(,"Contaminated gloves during a shift",165)+P168/(O168+P168)</f>
        <v>0</v>
      </c>
      <c r="R168" s="2">
        <f>IF(O168&lt;1,0,_XLL.RISKBINOMIAL(ROUND(O168,0),S168))</f>
        <v>0</v>
      </c>
      <c r="S168" s="11">
        <f t="shared" si="33"/>
        <v>0.0002337817386286467</v>
      </c>
      <c r="U168" s="2">
        <f t="shared" si="28"/>
        <v>102</v>
      </c>
      <c r="V168" s="2">
        <f t="shared" si="29"/>
        <v>1224</v>
      </c>
      <c r="W168" s="2">
        <f t="shared" si="30"/>
        <v>68</v>
      </c>
    </row>
    <row r="169" spans="1:23" ht="12.75">
      <c r="A169">
        <v>1</v>
      </c>
      <c r="B169">
        <v>165</v>
      </c>
      <c r="C169" s="2">
        <f t="shared" si="34"/>
        <v>100.61538461538461</v>
      </c>
      <c r="D169" s="2">
        <f t="shared" si="35"/>
        <v>1.3846153846153846</v>
      </c>
      <c r="E169" s="2">
        <f t="shared" si="36"/>
        <v>10.061538461538461</v>
      </c>
      <c r="F169" s="2">
        <f t="shared" si="37"/>
        <v>0.13846153846153847</v>
      </c>
      <c r="G169" s="9">
        <f>_XLL.RISKOUTPUT(,"Contaminated food products during a shift",166)+D169/(C169+D169)</f>
        <v>0.013574660633484163</v>
      </c>
      <c r="H169" s="2">
        <f>IF(C169&lt;1,0,_XLL.RISKBINOMIAL(ROUND(C169,0),I169))</f>
        <v>0</v>
      </c>
      <c r="I169" s="8">
        <f t="shared" si="38"/>
        <v>5.569062148913506E-05</v>
      </c>
      <c r="J169" s="2">
        <f t="shared" si="31"/>
        <v>1220.7418090519864</v>
      </c>
      <c r="K169" s="2">
        <f t="shared" si="32"/>
        <v>3.2581909480136027</v>
      </c>
      <c r="L169" s="10">
        <f>_XLL.RISKOUTPUT(,"Contaminated food contact surfaces during a shift",166)+K169/(J169+K169)</f>
        <v>0.00266192070916144</v>
      </c>
      <c r="M169" s="2">
        <f>IF(J169&lt;1,0,_XLL.RISKBINOMIAL(ROUND(J169,0),N169))</f>
        <v>0</v>
      </c>
      <c r="N169" s="11">
        <f t="shared" si="39"/>
        <v>1.3308466217609727E-05</v>
      </c>
      <c r="O169" s="2">
        <f t="shared" si="40"/>
        <v>68</v>
      </c>
      <c r="P169" s="2">
        <f t="shared" si="41"/>
        <v>0</v>
      </c>
      <c r="Q169" s="10">
        <f>_XLL.RISKOUTPUT(,"Contaminated gloves during a shift",166)+P169/(O169+P169)</f>
        <v>0</v>
      </c>
      <c r="R169" s="2">
        <f>IF(O169&lt;1,0,_XLL.RISKBINOMIAL(ROUND(O169,0),S169))</f>
        <v>0</v>
      </c>
      <c r="S169" s="11">
        <f t="shared" si="33"/>
        <v>0.0002337817386286467</v>
      </c>
      <c r="U169" s="2">
        <f t="shared" si="28"/>
        <v>102</v>
      </c>
      <c r="V169" s="2">
        <f t="shared" si="29"/>
        <v>1224</v>
      </c>
      <c r="W169" s="2">
        <f t="shared" si="30"/>
        <v>68</v>
      </c>
    </row>
    <row r="170" spans="1:23" ht="12.75">
      <c r="A170">
        <v>1</v>
      </c>
      <c r="B170">
        <v>166</v>
      </c>
      <c r="C170" s="2">
        <f t="shared" si="34"/>
        <v>100.61538461538461</v>
      </c>
      <c r="D170" s="2">
        <f t="shared" si="35"/>
        <v>1.3846153846153846</v>
      </c>
      <c r="E170" s="2">
        <f t="shared" si="36"/>
        <v>10.061538461538461</v>
      </c>
      <c r="F170" s="2">
        <f t="shared" si="37"/>
        <v>0.13846153846153847</v>
      </c>
      <c r="G170" s="9">
        <f>_XLL.RISKOUTPUT(,"Contaminated food products during a shift",167)+D170/(C170+D170)</f>
        <v>0.013574660633484163</v>
      </c>
      <c r="H170" s="2">
        <f>IF(C170&lt;1,0,_XLL.RISKBINOMIAL(ROUND(C170,0),I170))</f>
        <v>0</v>
      </c>
      <c r="I170" s="8">
        <f t="shared" si="38"/>
        <v>5.569062148913506E-05</v>
      </c>
      <c r="J170" s="2">
        <f t="shared" si="31"/>
        <v>1220.7418090519864</v>
      </c>
      <c r="K170" s="2">
        <f t="shared" si="32"/>
        <v>3.2581909480136027</v>
      </c>
      <c r="L170" s="10">
        <f>_XLL.RISKOUTPUT(,"Contaminated food contact surfaces during a shift",167)+K170/(J170+K170)</f>
        <v>0.00266192070916144</v>
      </c>
      <c r="M170" s="2">
        <f>IF(J170&lt;1,0,_XLL.RISKBINOMIAL(ROUND(J170,0),N170))</f>
        <v>0</v>
      </c>
      <c r="N170" s="11">
        <f t="shared" si="39"/>
        <v>1.3308466217609727E-05</v>
      </c>
      <c r="O170" s="2">
        <f t="shared" si="40"/>
        <v>68</v>
      </c>
      <c r="P170" s="2">
        <f t="shared" si="41"/>
        <v>0</v>
      </c>
      <c r="Q170" s="10">
        <f>_XLL.RISKOUTPUT(,"Contaminated gloves during a shift",167)+P170/(O170+P170)</f>
        <v>0</v>
      </c>
      <c r="R170" s="2">
        <f>IF(O170&lt;1,0,_XLL.RISKBINOMIAL(ROUND(O170,0),S170))</f>
        <v>0</v>
      </c>
      <c r="S170" s="11">
        <f t="shared" si="33"/>
        <v>0.0002337817386286467</v>
      </c>
      <c r="U170" s="2">
        <f t="shared" si="28"/>
        <v>102</v>
      </c>
      <c r="V170" s="2">
        <f t="shared" si="29"/>
        <v>1224</v>
      </c>
      <c r="W170" s="2">
        <f t="shared" si="30"/>
        <v>68</v>
      </c>
    </row>
    <row r="171" spans="1:23" ht="12.75">
      <c r="A171">
        <v>1</v>
      </c>
      <c r="B171">
        <v>167</v>
      </c>
      <c r="C171" s="2">
        <f t="shared" si="34"/>
        <v>100.61538461538461</v>
      </c>
      <c r="D171" s="2">
        <f t="shared" si="35"/>
        <v>1.3846153846153846</v>
      </c>
      <c r="E171" s="2">
        <f t="shared" si="36"/>
        <v>10.061538461538461</v>
      </c>
      <c r="F171" s="2">
        <f t="shared" si="37"/>
        <v>0.13846153846153847</v>
      </c>
      <c r="G171" s="9">
        <f>_XLL.RISKOUTPUT(,"Contaminated food products during a shift",168)+D171/(C171+D171)</f>
        <v>0.013574660633484163</v>
      </c>
      <c r="H171" s="2">
        <f>IF(C171&lt;1,0,_XLL.RISKBINOMIAL(ROUND(C171,0),I171))</f>
        <v>0</v>
      </c>
      <c r="I171" s="8">
        <f t="shared" si="38"/>
        <v>5.569062148913506E-05</v>
      </c>
      <c r="J171" s="2">
        <f t="shared" si="31"/>
        <v>1220.7418090519864</v>
      </c>
      <c r="K171" s="2">
        <f t="shared" si="32"/>
        <v>3.2581909480136027</v>
      </c>
      <c r="L171" s="10">
        <f>_XLL.RISKOUTPUT(,"Contaminated food contact surfaces during a shift",168)+K171/(J171+K171)</f>
        <v>0.00266192070916144</v>
      </c>
      <c r="M171" s="2">
        <f>IF(J171&lt;1,0,_XLL.RISKBINOMIAL(ROUND(J171,0),N171))</f>
        <v>0</v>
      </c>
      <c r="N171" s="11">
        <f t="shared" si="39"/>
        <v>1.3308466217609727E-05</v>
      </c>
      <c r="O171" s="2">
        <f t="shared" si="40"/>
        <v>68</v>
      </c>
      <c r="P171" s="2">
        <f t="shared" si="41"/>
        <v>0</v>
      </c>
      <c r="Q171" s="10">
        <f>_XLL.RISKOUTPUT(,"Contaminated gloves during a shift",168)+P171/(O171+P171)</f>
        <v>0</v>
      </c>
      <c r="R171" s="2">
        <f>IF(O171&lt;1,0,_XLL.RISKBINOMIAL(ROUND(O171,0),S171))</f>
        <v>0</v>
      </c>
      <c r="S171" s="11">
        <f t="shared" si="33"/>
        <v>0.0002337817386286467</v>
      </c>
      <c r="U171" s="2">
        <f t="shared" si="28"/>
        <v>102</v>
      </c>
      <c r="V171" s="2">
        <f t="shared" si="29"/>
        <v>1224</v>
      </c>
      <c r="W171" s="2">
        <f t="shared" si="30"/>
        <v>68</v>
      </c>
    </row>
    <row r="172" spans="1:23" ht="12.75">
      <c r="A172">
        <v>1</v>
      </c>
      <c r="B172">
        <v>168</v>
      </c>
      <c r="C172" s="2">
        <f t="shared" si="34"/>
        <v>100.61538461538461</v>
      </c>
      <c r="D172" s="2">
        <f t="shared" si="35"/>
        <v>1.3846153846153846</v>
      </c>
      <c r="E172" s="2">
        <f t="shared" si="36"/>
        <v>10.061538461538461</v>
      </c>
      <c r="F172" s="2">
        <f t="shared" si="37"/>
        <v>0.13846153846153847</v>
      </c>
      <c r="G172" s="9">
        <f>_XLL.RISKOUTPUT(,"Contaminated food products during a shift",169)+D172/(C172+D172)</f>
        <v>0.013574660633484163</v>
      </c>
      <c r="H172" s="2">
        <f>IF(C172&lt;1,0,_XLL.RISKBINOMIAL(ROUND(C172,0),I172))</f>
        <v>0</v>
      </c>
      <c r="I172" s="8">
        <f t="shared" si="38"/>
        <v>5.569062148913506E-05</v>
      </c>
      <c r="J172" s="2">
        <f t="shared" si="31"/>
        <v>1220.7418090519864</v>
      </c>
      <c r="K172" s="2">
        <f t="shared" si="32"/>
        <v>3.2581909480136027</v>
      </c>
      <c r="L172" s="10">
        <f>_XLL.RISKOUTPUT(,"Contaminated food contact surfaces during a shift",169)+K172/(J172+K172)</f>
        <v>0.00266192070916144</v>
      </c>
      <c r="M172" s="2">
        <f>IF(J172&lt;1,0,_XLL.RISKBINOMIAL(ROUND(J172,0),N172))</f>
        <v>0</v>
      </c>
      <c r="N172" s="11">
        <f t="shared" si="39"/>
        <v>1.3308466217609727E-05</v>
      </c>
      <c r="O172" s="2">
        <f t="shared" si="40"/>
        <v>68</v>
      </c>
      <c r="P172" s="2">
        <f t="shared" si="41"/>
        <v>0</v>
      </c>
      <c r="Q172" s="10">
        <f>_XLL.RISKOUTPUT(,"Contaminated gloves during a shift",169)+P172/(O172+P172)</f>
        <v>0</v>
      </c>
      <c r="R172" s="2">
        <f>IF(O172&lt;1,0,_XLL.RISKBINOMIAL(ROUND(O172,0),S172))</f>
        <v>0</v>
      </c>
      <c r="S172" s="11">
        <f t="shared" si="33"/>
        <v>0.0002337817386286467</v>
      </c>
      <c r="U172" s="2">
        <f t="shared" si="28"/>
        <v>102</v>
      </c>
      <c r="V172" s="2">
        <f t="shared" si="29"/>
        <v>1224</v>
      </c>
      <c r="W172" s="2">
        <f t="shared" si="30"/>
        <v>68</v>
      </c>
    </row>
    <row r="173" spans="1:23" ht="12.75">
      <c r="A173">
        <v>1</v>
      </c>
      <c r="B173">
        <v>169</v>
      </c>
      <c r="C173" s="2">
        <f t="shared" si="34"/>
        <v>100.61538461538461</v>
      </c>
      <c r="D173" s="2">
        <f t="shared" si="35"/>
        <v>1.3846153846153846</v>
      </c>
      <c r="E173" s="2">
        <f t="shared" si="36"/>
        <v>10.061538461538461</v>
      </c>
      <c r="F173" s="2">
        <f t="shared" si="37"/>
        <v>0.13846153846153847</v>
      </c>
      <c r="G173" s="9">
        <f>_XLL.RISKOUTPUT(,"Contaminated food products during a shift",170)+D173/(C173+D173)</f>
        <v>0.013574660633484163</v>
      </c>
      <c r="H173" s="2">
        <f>IF(C173&lt;1,0,_XLL.RISKBINOMIAL(ROUND(C173,0),I173))</f>
        <v>0</v>
      </c>
      <c r="I173" s="8">
        <f t="shared" si="38"/>
        <v>5.569062148913506E-05</v>
      </c>
      <c r="J173" s="2">
        <f t="shared" si="31"/>
        <v>1220.7418090519864</v>
      </c>
      <c r="K173" s="2">
        <f t="shared" si="32"/>
        <v>3.2581909480136027</v>
      </c>
      <c r="L173" s="10">
        <f>_XLL.RISKOUTPUT(,"Contaminated food contact surfaces during a shift",170)+K173/(J173+K173)</f>
        <v>0.00266192070916144</v>
      </c>
      <c r="M173" s="2">
        <f>IF(J173&lt;1,0,_XLL.RISKBINOMIAL(ROUND(J173,0),N173))</f>
        <v>0</v>
      </c>
      <c r="N173" s="11">
        <f t="shared" si="39"/>
        <v>1.3308466217609727E-05</v>
      </c>
      <c r="O173" s="2">
        <f t="shared" si="40"/>
        <v>68</v>
      </c>
      <c r="P173" s="2">
        <f t="shared" si="41"/>
        <v>0</v>
      </c>
      <c r="Q173" s="10">
        <f>_XLL.RISKOUTPUT(,"Contaminated gloves during a shift",170)+P173/(O173+P173)</f>
        <v>0</v>
      </c>
      <c r="R173" s="2">
        <f>IF(O173&lt;1,0,_XLL.RISKBINOMIAL(ROUND(O173,0),S173))</f>
        <v>0</v>
      </c>
      <c r="S173" s="11">
        <f t="shared" si="33"/>
        <v>0.0002337817386286467</v>
      </c>
      <c r="U173" s="2">
        <f t="shared" si="28"/>
        <v>102</v>
      </c>
      <c r="V173" s="2">
        <f t="shared" si="29"/>
        <v>1224</v>
      </c>
      <c r="W173" s="2">
        <f t="shared" si="30"/>
        <v>68</v>
      </c>
    </row>
    <row r="174" spans="1:23" ht="12.75">
      <c r="A174">
        <v>1</v>
      </c>
      <c r="B174">
        <v>170</v>
      </c>
      <c r="C174" s="2">
        <f t="shared" si="34"/>
        <v>100.61538461538461</v>
      </c>
      <c r="D174" s="2">
        <f t="shared" si="35"/>
        <v>1.3846153846153846</v>
      </c>
      <c r="E174" s="2">
        <f t="shared" si="36"/>
        <v>10.061538461538461</v>
      </c>
      <c r="F174" s="2">
        <f t="shared" si="37"/>
        <v>0.13846153846153847</v>
      </c>
      <c r="G174" s="9">
        <f>_XLL.RISKOUTPUT(,"Contaminated food products during a shift",171)+D174/(C174+D174)</f>
        <v>0.013574660633484163</v>
      </c>
      <c r="H174" s="2">
        <f>IF(C174&lt;1,0,_XLL.RISKBINOMIAL(ROUND(C174,0),I174))</f>
        <v>0</v>
      </c>
      <c r="I174" s="8">
        <f t="shared" si="38"/>
        <v>5.569062148913506E-05</v>
      </c>
      <c r="J174" s="2">
        <f t="shared" si="31"/>
        <v>1220.7418090519864</v>
      </c>
      <c r="K174" s="2">
        <f t="shared" si="32"/>
        <v>3.2581909480136027</v>
      </c>
      <c r="L174" s="10">
        <f>_XLL.RISKOUTPUT(,"Contaminated food contact surfaces during a shift",171)+K174/(J174+K174)</f>
        <v>0.00266192070916144</v>
      </c>
      <c r="M174" s="2">
        <f>IF(J174&lt;1,0,_XLL.RISKBINOMIAL(ROUND(J174,0),N174))</f>
        <v>0</v>
      </c>
      <c r="N174" s="11">
        <f t="shared" si="39"/>
        <v>1.3308466217609727E-05</v>
      </c>
      <c r="O174" s="2">
        <f t="shared" si="40"/>
        <v>68</v>
      </c>
      <c r="P174" s="2">
        <f t="shared" si="41"/>
        <v>0</v>
      </c>
      <c r="Q174" s="10">
        <f>_XLL.RISKOUTPUT(,"Contaminated gloves during a shift",171)+P174/(O174+P174)</f>
        <v>0</v>
      </c>
      <c r="R174" s="2">
        <f>IF(O174&lt;1,0,_XLL.RISKBINOMIAL(ROUND(O174,0),S174))</f>
        <v>0</v>
      </c>
      <c r="S174" s="11">
        <f t="shared" si="33"/>
        <v>0.0002337817386286467</v>
      </c>
      <c r="U174" s="2">
        <f t="shared" si="28"/>
        <v>102</v>
      </c>
      <c r="V174" s="2">
        <f t="shared" si="29"/>
        <v>1224</v>
      </c>
      <c r="W174" s="2">
        <f t="shared" si="30"/>
        <v>68</v>
      </c>
    </row>
    <row r="175" spans="1:23" ht="12.75">
      <c r="A175">
        <v>1</v>
      </c>
      <c r="B175">
        <v>171</v>
      </c>
      <c r="C175" s="2">
        <f t="shared" si="34"/>
        <v>100.61538461538461</v>
      </c>
      <c r="D175" s="2">
        <f t="shared" si="35"/>
        <v>1.3846153846153846</v>
      </c>
      <c r="E175" s="2">
        <f t="shared" si="36"/>
        <v>10.061538461538461</v>
      </c>
      <c r="F175" s="2">
        <f t="shared" si="37"/>
        <v>0.13846153846153847</v>
      </c>
      <c r="G175" s="9">
        <f>_XLL.RISKOUTPUT(,"Contaminated food products during a shift",172)+D175/(C175+D175)</f>
        <v>0.013574660633484163</v>
      </c>
      <c r="H175" s="2">
        <f>IF(C175&lt;1,0,_XLL.RISKBINOMIAL(ROUND(C175,0),I175))</f>
        <v>0</v>
      </c>
      <c r="I175" s="8">
        <f t="shared" si="38"/>
        <v>5.569062148913506E-05</v>
      </c>
      <c r="J175" s="2">
        <f t="shared" si="31"/>
        <v>1220.7418090519864</v>
      </c>
      <c r="K175" s="2">
        <f t="shared" si="32"/>
        <v>3.2581909480136027</v>
      </c>
      <c r="L175" s="10">
        <f>_XLL.RISKOUTPUT(,"Contaminated food contact surfaces during a shift",172)+K175/(J175+K175)</f>
        <v>0.00266192070916144</v>
      </c>
      <c r="M175" s="2">
        <f>IF(J175&lt;1,0,_XLL.RISKBINOMIAL(ROUND(J175,0),N175))</f>
        <v>0</v>
      </c>
      <c r="N175" s="11">
        <f t="shared" si="39"/>
        <v>1.3308466217609727E-05</v>
      </c>
      <c r="O175" s="2">
        <f t="shared" si="40"/>
        <v>68</v>
      </c>
      <c r="P175" s="2">
        <f t="shared" si="41"/>
        <v>0</v>
      </c>
      <c r="Q175" s="10">
        <f>_XLL.RISKOUTPUT(,"Contaminated gloves during a shift",172)+P175/(O175+P175)</f>
        <v>0</v>
      </c>
      <c r="R175" s="2">
        <f>IF(O175&lt;1,0,_XLL.RISKBINOMIAL(ROUND(O175,0),S175))</f>
        <v>0</v>
      </c>
      <c r="S175" s="11">
        <f t="shared" si="33"/>
        <v>0.0002337817386286467</v>
      </c>
      <c r="U175" s="2">
        <f t="shared" si="28"/>
        <v>102</v>
      </c>
      <c r="V175" s="2">
        <f t="shared" si="29"/>
        <v>1224</v>
      </c>
      <c r="W175" s="2">
        <f t="shared" si="30"/>
        <v>68</v>
      </c>
    </row>
    <row r="176" spans="1:23" ht="12.75">
      <c r="A176">
        <v>1</v>
      </c>
      <c r="B176">
        <v>172</v>
      </c>
      <c r="C176" s="2">
        <f t="shared" si="34"/>
        <v>100.61538461538461</v>
      </c>
      <c r="D176" s="2">
        <f t="shared" si="35"/>
        <v>1.3846153846153846</v>
      </c>
      <c r="E176" s="2">
        <f t="shared" si="36"/>
        <v>10.061538461538461</v>
      </c>
      <c r="F176" s="2">
        <f t="shared" si="37"/>
        <v>0.13846153846153847</v>
      </c>
      <c r="G176" s="9">
        <f>_XLL.RISKOUTPUT(,"Contaminated food products during a shift",173)+D176/(C176+D176)</f>
        <v>0.013574660633484163</v>
      </c>
      <c r="H176" s="2">
        <f>IF(C176&lt;1,0,_XLL.RISKBINOMIAL(ROUND(C176,0),I176))</f>
        <v>0</v>
      </c>
      <c r="I176" s="8">
        <f t="shared" si="38"/>
        <v>5.569062148913506E-05</v>
      </c>
      <c r="J176" s="2">
        <f t="shared" si="31"/>
        <v>1220.7418090519864</v>
      </c>
      <c r="K176" s="2">
        <f t="shared" si="32"/>
        <v>3.2581909480136027</v>
      </c>
      <c r="L176" s="10">
        <f>_XLL.RISKOUTPUT(,"Contaminated food contact surfaces during a shift",173)+K176/(J176+K176)</f>
        <v>0.00266192070916144</v>
      </c>
      <c r="M176" s="2">
        <f>IF(J176&lt;1,0,_XLL.RISKBINOMIAL(ROUND(J176,0),N176))</f>
        <v>0</v>
      </c>
      <c r="N176" s="11">
        <f t="shared" si="39"/>
        <v>1.3308466217609727E-05</v>
      </c>
      <c r="O176" s="2">
        <f t="shared" si="40"/>
        <v>68</v>
      </c>
      <c r="P176" s="2">
        <f t="shared" si="41"/>
        <v>0</v>
      </c>
      <c r="Q176" s="10">
        <f>_XLL.RISKOUTPUT(,"Contaminated gloves during a shift",173)+P176/(O176+P176)</f>
        <v>0</v>
      </c>
      <c r="R176" s="2">
        <f>IF(O176&lt;1,0,_XLL.RISKBINOMIAL(ROUND(O176,0),S176))</f>
        <v>0</v>
      </c>
      <c r="S176" s="11">
        <f t="shared" si="33"/>
        <v>0.0002337817386286467</v>
      </c>
      <c r="U176" s="2">
        <f t="shared" si="28"/>
        <v>102</v>
      </c>
      <c r="V176" s="2">
        <f t="shared" si="29"/>
        <v>1224</v>
      </c>
      <c r="W176" s="2">
        <f t="shared" si="30"/>
        <v>68</v>
      </c>
    </row>
    <row r="177" spans="1:23" ht="12.75">
      <c r="A177">
        <v>1</v>
      </c>
      <c r="B177">
        <v>173</v>
      </c>
      <c r="C177" s="2">
        <f t="shared" si="34"/>
        <v>100.61538461538461</v>
      </c>
      <c r="D177" s="2">
        <f t="shared" si="35"/>
        <v>1.3846153846153846</v>
      </c>
      <c r="E177" s="2">
        <f t="shared" si="36"/>
        <v>10.061538461538461</v>
      </c>
      <c r="F177" s="2">
        <f t="shared" si="37"/>
        <v>0.13846153846153847</v>
      </c>
      <c r="G177" s="9">
        <f>_XLL.RISKOUTPUT(,"Contaminated food products during a shift",174)+D177/(C177+D177)</f>
        <v>0.013574660633484163</v>
      </c>
      <c r="H177" s="2">
        <f>IF(C177&lt;1,0,_XLL.RISKBINOMIAL(ROUND(C177,0),I177))</f>
        <v>0</v>
      </c>
      <c r="I177" s="8">
        <f t="shared" si="38"/>
        <v>5.569062148913506E-05</v>
      </c>
      <c r="J177" s="2">
        <f t="shared" si="31"/>
        <v>1220.7418090519864</v>
      </c>
      <c r="K177" s="2">
        <f t="shared" si="32"/>
        <v>3.2581909480136027</v>
      </c>
      <c r="L177" s="10">
        <f>_XLL.RISKOUTPUT(,"Contaminated food contact surfaces during a shift",174)+K177/(J177+K177)</f>
        <v>0.00266192070916144</v>
      </c>
      <c r="M177" s="2">
        <f>IF(J177&lt;1,0,_XLL.RISKBINOMIAL(ROUND(J177,0),N177))</f>
        <v>0</v>
      </c>
      <c r="N177" s="11">
        <f t="shared" si="39"/>
        <v>1.3308466217609727E-05</v>
      </c>
      <c r="O177" s="2">
        <f t="shared" si="40"/>
        <v>68</v>
      </c>
      <c r="P177" s="2">
        <f t="shared" si="41"/>
        <v>0</v>
      </c>
      <c r="Q177" s="10">
        <f>_XLL.RISKOUTPUT(,"Contaminated gloves during a shift",174)+P177/(O177+P177)</f>
        <v>0</v>
      </c>
      <c r="R177" s="2">
        <f>IF(O177&lt;1,0,_XLL.RISKBINOMIAL(ROUND(O177,0),S177))</f>
        <v>0</v>
      </c>
      <c r="S177" s="11">
        <f t="shared" si="33"/>
        <v>0.0002337817386286467</v>
      </c>
      <c r="U177" s="2">
        <f t="shared" si="28"/>
        <v>102</v>
      </c>
      <c r="V177" s="2">
        <f t="shared" si="29"/>
        <v>1224</v>
      </c>
      <c r="W177" s="2">
        <f t="shared" si="30"/>
        <v>68</v>
      </c>
    </row>
    <row r="178" spans="1:23" ht="12.75">
      <c r="A178">
        <v>1</v>
      </c>
      <c r="B178">
        <v>174</v>
      </c>
      <c r="C178" s="2">
        <f t="shared" si="34"/>
        <v>100.61538461538461</v>
      </c>
      <c r="D178" s="2">
        <f t="shared" si="35"/>
        <v>1.3846153846153846</v>
      </c>
      <c r="E178" s="2">
        <f t="shared" si="36"/>
        <v>10.061538461538461</v>
      </c>
      <c r="F178" s="2">
        <f t="shared" si="37"/>
        <v>0.13846153846153847</v>
      </c>
      <c r="G178" s="9">
        <f>_XLL.RISKOUTPUT(,"Contaminated food products during a shift",175)+D178/(C178+D178)</f>
        <v>0.013574660633484163</v>
      </c>
      <c r="H178" s="2">
        <f>IF(C178&lt;1,0,_XLL.RISKBINOMIAL(ROUND(C178,0),I178))</f>
        <v>0</v>
      </c>
      <c r="I178" s="8">
        <f t="shared" si="38"/>
        <v>5.569062148913506E-05</v>
      </c>
      <c r="J178" s="2">
        <f t="shared" si="31"/>
        <v>1220.7418090519864</v>
      </c>
      <c r="K178" s="2">
        <f t="shared" si="32"/>
        <v>3.2581909480136027</v>
      </c>
      <c r="L178" s="10">
        <f>_XLL.RISKOUTPUT(,"Contaminated food contact surfaces during a shift",175)+K178/(J178+K178)</f>
        <v>0.00266192070916144</v>
      </c>
      <c r="M178" s="2">
        <f>IF(J178&lt;1,0,_XLL.RISKBINOMIAL(ROUND(J178,0),N178))</f>
        <v>0</v>
      </c>
      <c r="N178" s="11">
        <f t="shared" si="39"/>
        <v>1.3308466217609727E-05</v>
      </c>
      <c r="O178" s="2">
        <f t="shared" si="40"/>
        <v>68</v>
      </c>
      <c r="P178" s="2">
        <f t="shared" si="41"/>
        <v>0</v>
      </c>
      <c r="Q178" s="10">
        <f>_XLL.RISKOUTPUT(,"Contaminated gloves during a shift",175)+P178/(O178+P178)</f>
        <v>0</v>
      </c>
      <c r="R178" s="2">
        <f>IF(O178&lt;1,0,_XLL.RISKBINOMIAL(ROUND(O178,0),S178))</f>
        <v>0</v>
      </c>
      <c r="S178" s="11">
        <f t="shared" si="33"/>
        <v>0.0002337817386286467</v>
      </c>
      <c r="U178" s="2">
        <f t="shared" si="28"/>
        <v>102</v>
      </c>
      <c r="V178" s="2">
        <f t="shared" si="29"/>
        <v>1224</v>
      </c>
      <c r="W178" s="2">
        <f t="shared" si="30"/>
        <v>68</v>
      </c>
    </row>
    <row r="179" spans="1:23" ht="12.75">
      <c r="A179">
        <v>1</v>
      </c>
      <c r="B179">
        <v>175</v>
      </c>
      <c r="C179" s="2">
        <f t="shared" si="34"/>
        <v>100.61538461538461</v>
      </c>
      <c r="D179" s="2">
        <f t="shared" si="35"/>
        <v>1.3846153846153846</v>
      </c>
      <c r="E179" s="2">
        <f t="shared" si="36"/>
        <v>10.061538461538461</v>
      </c>
      <c r="F179" s="2">
        <f t="shared" si="37"/>
        <v>0.13846153846153847</v>
      </c>
      <c r="G179" s="9">
        <f>_XLL.RISKOUTPUT(,"Contaminated food products during a shift",176)+D179/(C179+D179)</f>
        <v>0.013574660633484163</v>
      </c>
      <c r="H179" s="2">
        <f>IF(C179&lt;1,0,_XLL.RISKBINOMIAL(ROUND(C179,0),I179))</f>
        <v>0</v>
      </c>
      <c r="I179" s="8">
        <f t="shared" si="38"/>
        <v>5.569062148913506E-05</v>
      </c>
      <c r="J179" s="2">
        <f t="shared" si="31"/>
        <v>1220.7418090519864</v>
      </c>
      <c r="K179" s="2">
        <f t="shared" si="32"/>
        <v>3.2581909480136027</v>
      </c>
      <c r="L179" s="10">
        <f>_XLL.RISKOUTPUT(,"Contaminated food contact surfaces during a shift",176)+K179/(J179+K179)</f>
        <v>0.00266192070916144</v>
      </c>
      <c r="M179" s="2">
        <f>IF(J179&lt;1,0,_XLL.RISKBINOMIAL(ROUND(J179,0),N179))</f>
        <v>0</v>
      </c>
      <c r="N179" s="11">
        <f t="shared" si="39"/>
        <v>1.3308466217609727E-05</v>
      </c>
      <c r="O179" s="2">
        <f t="shared" si="40"/>
        <v>68</v>
      </c>
      <c r="P179" s="2">
        <f t="shared" si="41"/>
        <v>0</v>
      </c>
      <c r="Q179" s="10">
        <f>_XLL.RISKOUTPUT(,"Contaminated gloves during a shift",176)+P179/(O179+P179)</f>
        <v>0</v>
      </c>
      <c r="R179" s="2">
        <f>IF(O179&lt;1,0,_XLL.RISKBINOMIAL(ROUND(O179,0),S179))</f>
        <v>0</v>
      </c>
      <c r="S179" s="11">
        <f t="shared" si="33"/>
        <v>0.0002337817386286467</v>
      </c>
      <c r="U179" s="2">
        <f t="shared" si="28"/>
        <v>102</v>
      </c>
      <c r="V179" s="2">
        <f t="shared" si="29"/>
        <v>1224</v>
      </c>
      <c r="W179" s="2">
        <f t="shared" si="30"/>
        <v>68</v>
      </c>
    </row>
    <row r="180" spans="1:23" ht="12.75">
      <c r="A180">
        <v>1</v>
      </c>
      <c r="B180">
        <v>176</v>
      </c>
      <c r="C180" s="2">
        <f t="shared" si="34"/>
        <v>100.61538461538461</v>
      </c>
      <c r="D180" s="2">
        <f t="shared" si="35"/>
        <v>1.3846153846153846</v>
      </c>
      <c r="E180" s="2">
        <f t="shared" si="36"/>
        <v>10.061538461538461</v>
      </c>
      <c r="F180" s="2">
        <f t="shared" si="37"/>
        <v>0.13846153846153847</v>
      </c>
      <c r="G180" s="9">
        <f>_XLL.RISKOUTPUT(,"Contaminated food products during a shift",177)+D180/(C180+D180)</f>
        <v>0.013574660633484163</v>
      </c>
      <c r="H180" s="2">
        <f>IF(C180&lt;1,0,_XLL.RISKBINOMIAL(ROUND(C180,0),I180))</f>
        <v>0</v>
      </c>
      <c r="I180" s="8">
        <f t="shared" si="38"/>
        <v>5.569062148913506E-05</v>
      </c>
      <c r="J180" s="2">
        <f t="shared" si="31"/>
        <v>1220.7418090519864</v>
      </c>
      <c r="K180" s="2">
        <f t="shared" si="32"/>
        <v>3.2581909480136027</v>
      </c>
      <c r="L180" s="10">
        <f>_XLL.RISKOUTPUT(,"Contaminated food contact surfaces during a shift",177)+K180/(J180+K180)</f>
        <v>0.00266192070916144</v>
      </c>
      <c r="M180" s="2">
        <f>IF(J180&lt;1,0,_XLL.RISKBINOMIAL(ROUND(J180,0),N180))</f>
        <v>0</v>
      </c>
      <c r="N180" s="11">
        <f t="shared" si="39"/>
        <v>1.3308466217609727E-05</v>
      </c>
      <c r="O180" s="2">
        <f t="shared" si="40"/>
        <v>68</v>
      </c>
      <c r="P180" s="2">
        <f t="shared" si="41"/>
        <v>0</v>
      </c>
      <c r="Q180" s="10">
        <f>_XLL.RISKOUTPUT(,"Contaminated gloves during a shift",177)+P180/(O180+P180)</f>
        <v>0</v>
      </c>
      <c r="R180" s="2">
        <f>IF(O180&lt;1,0,_XLL.RISKBINOMIAL(ROUND(O180,0),S180))</f>
        <v>0</v>
      </c>
      <c r="S180" s="11">
        <f t="shared" si="33"/>
        <v>0.0002337817386286467</v>
      </c>
      <c r="U180" s="2">
        <f t="shared" si="28"/>
        <v>102</v>
      </c>
      <c r="V180" s="2">
        <f t="shared" si="29"/>
        <v>1224</v>
      </c>
      <c r="W180" s="2">
        <f t="shared" si="30"/>
        <v>68</v>
      </c>
    </row>
    <row r="181" spans="1:23" ht="12.75">
      <c r="A181">
        <v>1</v>
      </c>
      <c r="B181">
        <v>177</v>
      </c>
      <c r="C181" s="2">
        <f t="shared" si="34"/>
        <v>100.61538461538461</v>
      </c>
      <c r="D181" s="2">
        <f t="shared" si="35"/>
        <v>1.3846153846153846</v>
      </c>
      <c r="E181" s="2">
        <f t="shared" si="36"/>
        <v>10.061538461538461</v>
      </c>
      <c r="F181" s="2">
        <f t="shared" si="37"/>
        <v>0.13846153846153847</v>
      </c>
      <c r="G181" s="9">
        <f>_XLL.RISKOUTPUT(,"Contaminated food products during a shift",178)+D181/(C181+D181)</f>
        <v>0.013574660633484163</v>
      </c>
      <c r="H181" s="2">
        <f>IF(C181&lt;1,0,_XLL.RISKBINOMIAL(ROUND(C181,0),I181))</f>
        <v>0</v>
      </c>
      <c r="I181" s="8">
        <f t="shared" si="38"/>
        <v>5.569062148913506E-05</v>
      </c>
      <c r="J181" s="2">
        <f t="shared" si="31"/>
        <v>1220.7418090519864</v>
      </c>
      <c r="K181" s="2">
        <f t="shared" si="32"/>
        <v>3.2581909480136027</v>
      </c>
      <c r="L181" s="10">
        <f>_XLL.RISKOUTPUT(,"Contaminated food contact surfaces during a shift",178)+K181/(J181+K181)</f>
        <v>0.00266192070916144</v>
      </c>
      <c r="M181" s="2">
        <f>IF(J181&lt;1,0,_XLL.RISKBINOMIAL(ROUND(J181,0),N181))</f>
        <v>0</v>
      </c>
      <c r="N181" s="11">
        <f t="shared" si="39"/>
        <v>1.3308466217609727E-05</v>
      </c>
      <c r="O181" s="2">
        <f t="shared" si="40"/>
        <v>68</v>
      </c>
      <c r="P181" s="2">
        <f t="shared" si="41"/>
        <v>0</v>
      </c>
      <c r="Q181" s="10">
        <f>_XLL.RISKOUTPUT(,"Contaminated gloves during a shift",178)+P181/(O181+P181)</f>
        <v>0</v>
      </c>
      <c r="R181" s="2">
        <f>IF(O181&lt;1,0,_XLL.RISKBINOMIAL(ROUND(O181,0),S181))</f>
        <v>0</v>
      </c>
      <c r="S181" s="11">
        <f t="shared" si="33"/>
        <v>0.0002337817386286467</v>
      </c>
      <c r="U181" s="2">
        <f t="shared" si="28"/>
        <v>102</v>
      </c>
      <c r="V181" s="2">
        <f t="shared" si="29"/>
        <v>1224</v>
      </c>
      <c r="W181" s="2">
        <f t="shared" si="30"/>
        <v>68</v>
      </c>
    </row>
    <row r="182" spans="1:23" ht="12.75">
      <c r="A182">
        <v>1</v>
      </c>
      <c r="B182">
        <v>178</v>
      </c>
      <c r="C182" s="2">
        <f t="shared" si="34"/>
        <v>100.61538461538461</v>
      </c>
      <c r="D182" s="2">
        <f t="shared" si="35"/>
        <v>1.3846153846153846</v>
      </c>
      <c r="E182" s="2">
        <f t="shared" si="36"/>
        <v>10.061538461538461</v>
      </c>
      <c r="F182" s="2">
        <f t="shared" si="37"/>
        <v>0.13846153846153847</v>
      </c>
      <c r="G182" s="9">
        <f>_XLL.RISKOUTPUT(,"Contaminated food products during a shift",179)+D182/(C182+D182)</f>
        <v>0.013574660633484163</v>
      </c>
      <c r="H182" s="2">
        <f>IF(C182&lt;1,0,_XLL.RISKBINOMIAL(ROUND(C182,0),I182))</f>
        <v>0</v>
      </c>
      <c r="I182" s="8">
        <f t="shared" si="38"/>
        <v>5.569062148913506E-05</v>
      </c>
      <c r="J182" s="2">
        <f t="shared" si="31"/>
        <v>1220.7418090519864</v>
      </c>
      <c r="K182" s="2">
        <f t="shared" si="32"/>
        <v>3.2581909480136027</v>
      </c>
      <c r="L182" s="10">
        <f>_XLL.RISKOUTPUT(,"Contaminated food contact surfaces during a shift",179)+K182/(J182+K182)</f>
        <v>0.00266192070916144</v>
      </c>
      <c r="M182" s="2">
        <f>IF(J182&lt;1,0,_XLL.RISKBINOMIAL(ROUND(J182,0),N182))</f>
        <v>0</v>
      </c>
      <c r="N182" s="11">
        <f t="shared" si="39"/>
        <v>1.3308466217609727E-05</v>
      </c>
      <c r="O182" s="2">
        <f t="shared" si="40"/>
        <v>68</v>
      </c>
      <c r="P182" s="2">
        <f t="shared" si="41"/>
        <v>0</v>
      </c>
      <c r="Q182" s="10">
        <f>_XLL.RISKOUTPUT(,"Contaminated gloves during a shift",179)+P182/(O182+P182)</f>
        <v>0</v>
      </c>
      <c r="R182" s="2">
        <f>IF(O182&lt;1,0,_XLL.RISKBINOMIAL(ROUND(O182,0),S182))</f>
        <v>0</v>
      </c>
      <c r="S182" s="11">
        <f t="shared" si="33"/>
        <v>0.0002337817386286467</v>
      </c>
      <c r="U182" s="2">
        <f t="shared" si="28"/>
        <v>102</v>
      </c>
      <c r="V182" s="2">
        <f t="shared" si="29"/>
        <v>1224</v>
      </c>
      <c r="W182" s="2">
        <f t="shared" si="30"/>
        <v>68</v>
      </c>
    </row>
    <row r="183" spans="1:23" ht="12.75">
      <c r="A183">
        <v>1</v>
      </c>
      <c r="B183">
        <v>179</v>
      </c>
      <c r="C183" s="2">
        <f t="shared" si="34"/>
        <v>100.61538461538461</v>
      </c>
      <c r="D183" s="2">
        <f t="shared" si="35"/>
        <v>1.3846153846153846</v>
      </c>
      <c r="E183" s="2">
        <f t="shared" si="36"/>
        <v>10.061538461538461</v>
      </c>
      <c r="F183" s="2">
        <f t="shared" si="37"/>
        <v>0.13846153846153847</v>
      </c>
      <c r="G183" s="9">
        <f>_XLL.RISKOUTPUT(,"Contaminated food products during a shift",180)+D183/(C183+D183)</f>
        <v>0.013574660633484163</v>
      </c>
      <c r="H183" s="2">
        <f>IF(C183&lt;1,0,_XLL.RISKBINOMIAL(ROUND(C183,0),I183))</f>
        <v>0</v>
      </c>
      <c r="I183" s="8">
        <f t="shared" si="38"/>
        <v>5.569062148913506E-05</v>
      </c>
      <c r="J183" s="2">
        <f t="shared" si="31"/>
        <v>1220.7418090519864</v>
      </c>
      <c r="K183" s="2">
        <f t="shared" si="32"/>
        <v>3.2581909480136027</v>
      </c>
      <c r="L183" s="10">
        <f>_XLL.RISKOUTPUT(,"Contaminated food contact surfaces during a shift",180)+K183/(J183+K183)</f>
        <v>0.00266192070916144</v>
      </c>
      <c r="M183" s="2">
        <f>IF(J183&lt;1,0,_XLL.RISKBINOMIAL(ROUND(J183,0),N183))</f>
        <v>0</v>
      </c>
      <c r="N183" s="11">
        <f t="shared" si="39"/>
        <v>1.3308466217609727E-05</v>
      </c>
      <c r="O183" s="2">
        <f t="shared" si="40"/>
        <v>68</v>
      </c>
      <c r="P183" s="2">
        <f t="shared" si="41"/>
        <v>0</v>
      </c>
      <c r="Q183" s="10">
        <f>_XLL.RISKOUTPUT(,"Contaminated gloves during a shift",180)+P183/(O183+P183)</f>
        <v>0</v>
      </c>
      <c r="R183" s="2">
        <f>IF(O183&lt;1,0,_XLL.RISKBINOMIAL(ROUND(O183,0),S183))</f>
        <v>0</v>
      </c>
      <c r="S183" s="11">
        <f t="shared" si="33"/>
        <v>0.0002337817386286467</v>
      </c>
      <c r="U183" s="2">
        <f t="shared" si="28"/>
        <v>102</v>
      </c>
      <c r="V183" s="2">
        <f t="shared" si="29"/>
        <v>1224</v>
      </c>
      <c r="W183" s="2">
        <f t="shared" si="30"/>
        <v>68</v>
      </c>
    </row>
    <row r="184" spans="1:23" ht="12.75">
      <c r="A184">
        <v>1</v>
      </c>
      <c r="B184">
        <v>180</v>
      </c>
      <c r="C184" s="2">
        <f t="shared" si="34"/>
        <v>100.61538461538461</v>
      </c>
      <c r="D184" s="2">
        <f t="shared" si="35"/>
        <v>1.3846153846153846</v>
      </c>
      <c r="E184" s="2">
        <f t="shared" si="36"/>
        <v>10.061538461538461</v>
      </c>
      <c r="F184" s="2">
        <f t="shared" si="37"/>
        <v>0.13846153846153847</v>
      </c>
      <c r="G184" s="9">
        <f>_XLL.RISKOUTPUT(,"Contaminated food products during a shift",181)+D184/(C184+D184)</f>
        <v>0.013574660633484163</v>
      </c>
      <c r="H184" s="2">
        <f>IF(C184&lt;1,0,_XLL.RISKBINOMIAL(ROUND(C184,0),I184))</f>
        <v>0</v>
      </c>
      <c r="I184" s="8">
        <f t="shared" si="38"/>
        <v>5.569062148913506E-05</v>
      </c>
      <c r="J184" s="2">
        <f t="shared" si="31"/>
        <v>1220.7418090519864</v>
      </c>
      <c r="K184" s="2">
        <f t="shared" si="32"/>
        <v>3.2581909480136027</v>
      </c>
      <c r="L184" s="10">
        <f>_XLL.RISKOUTPUT(,"Contaminated food contact surfaces during a shift",181)+K184/(J184+K184)</f>
        <v>0.00266192070916144</v>
      </c>
      <c r="M184" s="2">
        <f>IF(J184&lt;1,0,_XLL.RISKBINOMIAL(ROUND(J184,0),N184))</f>
        <v>0</v>
      </c>
      <c r="N184" s="11">
        <f t="shared" si="39"/>
        <v>1.3308466217609727E-05</v>
      </c>
      <c r="O184" s="2">
        <f t="shared" si="40"/>
        <v>68</v>
      </c>
      <c r="P184" s="2">
        <f t="shared" si="41"/>
        <v>0</v>
      </c>
      <c r="Q184" s="10">
        <f>_XLL.RISKOUTPUT(,"Contaminated gloves during a shift",181)+P184/(O184+P184)</f>
        <v>0</v>
      </c>
      <c r="R184" s="2">
        <f>IF(O184&lt;1,0,_XLL.RISKBINOMIAL(ROUND(O184,0),S184))</f>
        <v>0</v>
      </c>
      <c r="S184" s="11">
        <f t="shared" si="33"/>
        <v>0.0002337817386286467</v>
      </c>
      <c r="U184" s="2">
        <f t="shared" si="28"/>
        <v>102</v>
      </c>
      <c r="V184" s="2">
        <f t="shared" si="29"/>
        <v>1224</v>
      </c>
      <c r="W184" s="2">
        <f t="shared" si="30"/>
        <v>68</v>
      </c>
    </row>
    <row r="185" spans="1:23" ht="12.75">
      <c r="A185">
        <v>1</v>
      </c>
      <c r="B185">
        <v>181</v>
      </c>
      <c r="C185" s="2">
        <f t="shared" si="34"/>
        <v>100.61538461538461</v>
      </c>
      <c r="D185" s="2">
        <f t="shared" si="35"/>
        <v>1.3846153846153846</v>
      </c>
      <c r="E185" s="2">
        <f t="shared" si="36"/>
        <v>10.061538461538461</v>
      </c>
      <c r="F185" s="2">
        <f t="shared" si="37"/>
        <v>0.13846153846153847</v>
      </c>
      <c r="G185" s="9">
        <f>_XLL.RISKOUTPUT(,"Contaminated food products during a shift",182)+D185/(C185+D185)</f>
        <v>0.013574660633484163</v>
      </c>
      <c r="H185" s="2">
        <f>IF(C185&lt;1,0,_XLL.RISKBINOMIAL(ROUND(C185,0),I185))</f>
        <v>0</v>
      </c>
      <c r="I185" s="8">
        <f t="shared" si="38"/>
        <v>5.569062148913506E-05</v>
      </c>
      <c r="J185" s="2">
        <f t="shared" si="31"/>
        <v>1220.7418090519864</v>
      </c>
      <c r="K185" s="2">
        <f t="shared" si="32"/>
        <v>3.2581909480136027</v>
      </c>
      <c r="L185" s="10">
        <f>_XLL.RISKOUTPUT(,"Contaminated food contact surfaces during a shift",182)+K185/(J185+K185)</f>
        <v>0.00266192070916144</v>
      </c>
      <c r="M185" s="2">
        <f>IF(J185&lt;1,0,_XLL.RISKBINOMIAL(ROUND(J185,0),N185))</f>
        <v>0</v>
      </c>
      <c r="N185" s="11">
        <f t="shared" si="39"/>
        <v>1.3308466217609727E-05</v>
      </c>
      <c r="O185" s="2">
        <f t="shared" si="40"/>
        <v>68</v>
      </c>
      <c r="P185" s="2">
        <f t="shared" si="41"/>
        <v>0</v>
      </c>
      <c r="Q185" s="10">
        <f>_XLL.RISKOUTPUT(,"Contaminated gloves during a shift",182)+P185/(O185+P185)</f>
        <v>0</v>
      </c>
      <c r="R185" s="2">
        <f>IF(O185&lt;1,0,_XLL.RISKBINOMIAL(ROUND(O185,0),S185))</f>
        <v>0</v>
      </c>
      <c r="S185" s="11">
        <f t="shared" si="33"/>
        <v>0.0002337817386286467</v>
      </c>
      <c r="U185" s="2">
        <f t="shared" si="28"/>
        <v>102</v>
      </c>
      <c r="V185" s="2">
        <f t="shared" si="29"/>
        <v>1224</v>
      </c>
      <c r="W185" s="2">
        <f t="shared" si="30"/>
        <v>68</v>
      </c>
    </row>
    <row r="186" spans="1:23" ht="12.75">
      <c r="A186">
        <v>1</v>
      </c>
      <c r="B186">
        <v>182</v>
      </c>
      <c r="C186" s="2">
        <f t="shared" si="34"/>
        <v>100.61538461538461</v>
      </c>
      <c r="D186" s="2">
        <f t="shared" si="35"/>
        <v>1.3846153846153846</v>
      </c>
      <c r="E186" s="2">
        <f t="shared" si="36"/>
        <v>10.061538461538461</v>
      </c>
      <c r="F186" s="2">
        <f t="shared" si="37"/>
        <v>0.13846153846153847</v>
      </c>
      <c r="G186" s="9">
        <f>_XLL.RISKOUTPUT(,"Contaminated food products during a shift",183)+D186/(C186+D186)</f>
        <v>0.013574660633484163</v>
      </c>
      <c r="H186" s="2">
        <f>IF(C186&lt;1,0,_XLL.RISKBINOMIAL(ROUND(C186,0),I186))</f>
        <v>0</v>
      </c>
      <c r="I186" s="8">
        <f t="shared" si="38"/>
        <v>5.569062148913506E-05</v>
      </c>
      <c r="J186" s="2">
        <f t="shared" si="31"/>
        <v>1220.7418090519864</v>
      </c>
      <c r="K186" s="2">
        <f t="shared" si="32"/>
        <v>3.2581909480136027</v>
      </c>
      <c r="L186" s="10">
        <f>_XLL.RISKOUTPUT(,"Contaminated food contact surfaces during a shift",183)+K186/(J186+K186)</f>
        <v>0.00266192070916144</v>
      </c>
      <c r="M186" s="2">
        <f>IF(J186&lt;1,0,_XLL.RISKBINOMIAL(ROUND(J186,0),N186))</f>
        <v>0</v>
      </c>
      <c r="N186" s="11">
        <f t="shared" si="39"/>
        <v>1.3308466217609727E-05</v>
      </c>
      <c r="O186" s="2">
        <f t="shared" si="40"/>
        <v>68</v>
      </c>
      <c r="P186" s="2">
        <f t="shared" si="41"/>
        <v>0</v>
      </c>
      <c r="Q186" s="10">
        <f>_XLL.RISKOUTPUT(,"Contaminated gloves during a shift",183)+P186/(O186+P186)</f>
        <v>0</v>
      </c>
      <c r="R186" s="2">
        <f>IF(O186&lt;1,0,_XLL.RISKBINOMIAL(ROUND(O186,0),S186))</f>
        <v>0</v>
      </c>
      <c r="S186" s="11">
        <f t="shared" si="33"/>
        <v>0.0002337817386286467</v>
      </c>
      <c r="U186" s="2">
        <f t="shared" si="28"/>
        <v>102</v>
      </c>
      <c r="V186" s="2">
        <f t="shared" si="29"/>
        <v>1224</v>
      </c>
      <c r="W186" s="2">
        <f t="shared" si="30"/>
        <v>68</v>
      </c>
    </row>
    <row r="187" spans="1:23" ht="12.75">
      <c r="A187">
        <v>1</v>
      </c>
      <c r="B187">
        <v>183</v>
      </c>
      <c r="C187" s="2">
        <f t="shared" si="34"/>
        <v>100.61538461538461</v>
      </c>
      <c r="D187" s="2">
        <f t="shared" si="35"/>
        <v>1.3846153846153846</v>
      </c>
      <c r="E187" s="2">
        <f t="shared" si="36"/>
        <v>10.061538461538461</v>
      </c>
      <c r="F187" s="2">
        <f t="shared" si="37"/>
        <v>0.13846153846153847</v>
      </c>
      <c r="G187" s="9">
        <f>_XLL.RISKOUTPUT(,"Contaminated food products during a shift",184)+D187/(C187+D187)</f>
        <v>0.013574660633484163</v>
      </c>
      <c r="H187" s="2">
        <f>IF(C187&lt;1,0,_XLL.RISKBINOMIAL(ROUND(C187,0),I187))</f>
        <v>0</v>
      </c>
      <c r="I187" s="8">
        <f t="shared" si="38"/>
        <v>5.569062148913506E-05</v>
      </c>
      <c r="J187" s="2">
        <f t="shared" si="31"/>
        <v>1220.7418090519864</v>
      </c>
      <c r="K187" s="2">
        <f t="shared" si="32"/>
        <v>3.2581909480136027</v>
      </c>
      <c r="L187" s="10">
        <f>_XLL.RISKOUTPUT(,"Contaminated food contact surfaces during a shift",184)+K187/(J187+K187)</f>
        <v>0.00266192070916144</v>
      </c>
      <c r="M187" s="2">
        <f>IF(J187&lt;1,0,_XLL.RISKBINOMIAL(ROUND(J187,0),N187))</f>
        <v>0</v>
      </c>
      <c r="N187" s="11">
        <f t="shared" si="39"/>
        <v>1.3308466217609727E-05</v>
      </c>
      <c r="O187" s="2">
        <f t="shared" si="40"/>
        <v>68</v>
      </c>
      <c r="P187" s="2">
        <f t="shared" si="41"/>
        <v>0</v>
      </c>
      <c r="Q187" s="10">
        <f>_XLL.RISKOUTPUT(,"Contaminated gloves during a shift",184)+P187/(O187+P187)</f>
        <v>0</v>
      </c>
      <c r="R187" s="2">
        <f>IF(O187&lt;1,0,_XLL.RISKBINOMIAL(ROUND(O187,0),S187))</f>
        <v>0</v>
      </c>
      <c r="S187" s="11">
        <f t="shared" si="33"/>
        <v>0.0002337817386286467</v>
      </c>
      <c r="U187" s="2">
        <f t="shared" si="28"/>
        <v>102</v>
      </c>
      <c r="V187" s="2">
        <f t="shared" si="29"/>
        <v>1224</v>
      </c>
      <c r="W187" s="2">
        <f t="shared" si="30"/>
        <v>68</v>
      </c>
    </row>
    <row r="188" spans="1:23" ht="12.75">
      <c r="A188">
        <v>1</v>
      </c>
      <c r="B188">
        <v>184</v>
      </c>
      <c r="C188" s="2">
        <f t="shared" si="34"/>
        <v>100.61538461538461</v>
      </c>
      <c r="D188" s="2">
        <f t="shared" si="35"/>
        <v>1.3846153846153846</v>
      </c>
      <c r="E188" s="2">
        <f t="shared" si="36"/>
        <v>10.061538461538461</v>
      </c>
      <c r="F188" s="2">
        <f t="shared" si="37"/>
        <v>0.13846153846153847</v>
      </c>
      <c r="G188" s="9">
        <f>_XLL.RISKOUTPUT(,"Contaminated food products during a shift",185)+D188/(C188+D188)</f>
        <v>0.013574660633484163</v>
      </c>
      <c r="H188" s="2">
        <f>IF(C188&lt;1,0,_XLL.RISKBINOMIAL(ROUND(C188,0),I188))</f>
        <v>0</v>
      </c>
      <c r="I188" s="8">
        <f t="shared" si="38"/>
        <v>5.569062148913506E-05</v>
      </c>
      <c r="J188" s="2">
        <f t="shared" si="31"/>
        <v>1220.7418090519864</v>
      </c>
      <c r="K188" s="2">
        <f t="shared" si="32"/>
        <v>3.2581909480136027</v>
      </c>
      <c r="L188" s="10">
        <f>_XLL.RISKOUTPUT(,"Contaminated food contact surfaces during a shift",185)+K188/(J188+K188)</f>
        <v>0.00266192070916144</v>
      </c>
      <c r="M188" s="2">
        <f>IF(J188&lt;1,0,_XLL.RISKBINOMIAL(ROUND(J188,0),N188))</f>
        <v>0</v>
      </c>
      <c r="N188" s="11">
        <f t="shared" si="39"/>
        <v>1.3308466217609727E-05</v>
      </c>
      <c r="O188" s="2">
        <f t="shared" si="40"/>
        <v>68</v>
      </c>
      <c r="P188" s="2">
        <f t="shared" si="41"/>
        <v>0</v>
      </c>
      <c r="Q188" s="10">
        <f>_XLL.RISKOUTPUT(,"Contaminated gloves during a shift",185)+P188/(O188+P188)</f>
        <v>0</v>
      </c>
      <c r="R188" s="2">
        <f>IF(O188&lt;1,0,_XLL.RISKBINOMIAL(ROUND(O188,0),S188))</f>
        <v>0</v>
      </c>
      <c r="S188" s="11">
        <f t="shared" si="33"/>
        <v>0.0002337817386286467</v>
      </c>
      <c r="U188" s="2">
        <f t="shared" si="28"/>
        <v>102</v>
      </c>
      <c r="V188" s="2">
        <f t="shared" si="29"/>
        <v>1224</v>
      </c>
      <c r="W188" s="2">
        <f t="shared" si="30"/>
        <v>68</v>
      </c>
    </row>
    <row r="189" spans="1:23" ht="12.75">
      <c r="A189">
        <v>1</v>
      </c>
      <c r="B189">
        <v>185</v>
      </c>
      <c r="C189" s="2">
        <f t="shared" si="34"/>
        <v>100.61538461538461</v>
      </c>
      <c r="D189" s="2">
        <f t="shared" si="35"/>
        <v>1.3846153846153846</v>
      </c>
      <c r="E189" s="2">
        <f t="shared" si="36"/>
        <v>10.061538461538461</v>
      </c>
      <c r="F189" s="2">
        <f t="shared" si="37"/>
        <v>0.13846153846153847</v>
      </c>
      <c r="G189" s="9">
        <f>_XLL.RISKOUTPUT(,"Contaminated food products during a shift",186)+D189/(C189+D189)</f>
        <v>0.013574660633484163</v>
      </c>
      <c r="H189" s="2">
        <f>IF(C189&lt;1,0,_XLL.RISKBINOMIAL(ROUND(C189,0),I189))</f>
        <v>0</v>
      </c>
      <c r="I189" s="8">
        <f t="shared" si="38"/>
        <v>5.569062148913506E-05</v>
      </c>
      <c r="J189" s="2">
        <f t="shared" si="31"/>
        <v>1220.7418090519864</v>
      </c>
      <c r="K189" s="2">
        <f t="shared" si="32"/>
        <v>3.2581909480136027</v>
      </c>
      <c r="L189" s="10">
        <f>_XLL.RISKOUTPUT(,"Contaminated food contact surfaces during a shift",186)+K189/(J189+K189)</f>
        <v>0.00266192070916144</v>
      </c>
      <c r="M189" s="2">
        <f>IF(J189&lt;1,0,_XLL.RISKBINOMIAL(ROUND(J189,0),N189))</f>
        <v>0</v>
      </c>
      <c r="N189" s="11">
        <f t="shared" si="39"/>
        <v>1.3308466217609727E-05</v>
      </c>
      <c r="O189" s="2">
        <f t="shared" si="40"/>
        <v>68</v>
      </c>
      <c r="P189" s="2">
        <f t="shared" si="41"/>
        <v>0</v>
      </c>
      <c r="Q189" s="10">
        <f>_XLL.RISKOUTPUT(,"Contaminated gloves during a shift",186)+P189/(O189+P189)</f>
        <v>0</v>
      </c>
      <c r="R189" s="2">
        <f>IF(O189&lt;1,0,_XLL.RISKBINOMIAL(ROUND(O189,0),S189))</f>
        <v>0</v>
      </c>
      <c r="S189" s="11">
        <f t="shared" si="33"/>
        <v>0.0002337817386286467</v>
      </c>
      <c r="U189" s="2">
        <f t="shared" si="28"/>
        <v>102</v>
      </c>
      <c r="V189" s="2">
        <f t="shared" si="29"/>
        <v>1224</v>
      </c>
      <c r="W189" s="2">
        <f t="shared" si="30"/>
        <v>68</v>
      </c>
    </row>
    <row r="190" spans="1:23" ht="12.75">
      <c r="A190">
        <v>1</v>
      </c>
      <c r="B190">
        <v>186</v>
      </c>
      <c r="C190" s="2">
        <f t="shared" si="34"/>
        <v>100.61538461538461</v>
      </c>
      <c r="D190" s="2">
        <f t="shared" si="35"/>
        <v>1.3846153846153846</v>
      </c>
      <c r="E190" s="2">
        <f t="shared" si="36"/>
        <v>10.061538461538461</v>
      </c>
      <c r="F190" s="2">
        <f t="shared" si="37"/>
        <v>0.13846153846153847</v>
      </c>
      <c r="G190" s="9">
        <f>_XLL.RISKOUTPUT(,"Contaminated food products during a shift",187)+D190/(C190+D190)</f>
        <v>0.013574660633484163</v>
      </c>
      <c r="H190" s="2">
        <f>IF(C190&lt;1,0,_XLL.RISKBINOMIAL(ROUND(C190,0),I190))</f>
        <v>0</v>
      </c>
      <c r="I190" s="8">
        <f t="shared" si="38"/>
        <v>5.569062148913506E-05</v>
      </c>
      <c r="J190" s="2">
        <f t="shared" si="31"/>
        <v>1220.7418090519864</v>
      </c>
      <c r="K190" s="2">
        <f t="shared" si="32"/>
        <v>3.2581909480136027</v>
      </c>
      <c r="L190" s="10">
        <f>_XLL.RISKOUTPUT(,"Contaminated food contact surfaces during a shift",187)+K190/(J190+K190)</f>
        <v>0.00266192070916144</v>
      </c>
      <c r="M190" s="2">
        <f>IF(J190&lt;1,0,_XLL.RISKBINOMIAL(ROUND(J190,0),N190))</f>
        <v>0</v>
      </c>
      <c r="N190" s="11">
        <f t="shared" si="39"/>
        <v>1.3308466217609727E-05</v>
      </c>
      <c r="O190" s="2">
        <f t="shared" si="40"/>
        <v>68</v>
      </c>
      <c r="P190" s="2">
        <f t="shared" si="41"/>
        <v>0</v>
      </c>
      <c r="Q190" s="10">
        <f>_XLL.RISKOUTPUT(,"Contaminated gloves during a shift",187)+P190/(O190+P190)</f>
        <v>0</v>
      </c>
      <c r="R190" s="2">
        <f>IF(O190&lt;1,0,_XLL.RISKBINOMIAL(ROUND(O190,0),S190))</f>
        <v>0</v>
      </c>
      <c r="S190" s="11">
        <f t="shared" si="33"/>
        <v>0.0002337817386286467</v>
      </c>
      <c r="U190" s="2">
        <f t="shared" si="28"/>
        <v>102</v>
      </c>
      <c r="V190" s="2">
        <f t="shared" si="29"/>
        <v>1224</v>
      </c>
      <c r="W190" s="2">
        <f t="shared" si="30"/>
        <v>68</v>
      </c>
    </row>
    <row r="191" spans="1:23" ht="12.75">
      <c r="A191">
        <v>1</v>
      </c>
      <c r="B191">
        <v>187</v>
      </c>
      <c r="C191" s="2">
        <f t="shared" si="34"/>
        <v>100.61538461538461</v>
      </c>
      <c r="D191" s="2">
        <f t="shared" si="35"/>
        <v>1.3846153846153846</v>
      </c>
      <c r="E191" s="2">
        <f t="shared" si="36"/>
        <v>10.061538461538461</v>
      </c>
      <c r="F191" s="2">
        <f t="shared" si="37"/>
        <v>0.13846153846153847</v>
      </c>
      <c r="G191" s="9">
        <f>_XLL.RISKOUTPUT(,"Contaminated food products during a shift",188)+D191/(C191+D191)</f>
        <v>0.013574660633484163</v>
      </c>
      <c r="H191" s="2">
        <f>IF(C191&lt;1,0,_XLL.RISKBINOMIAL(ROUND(C191,0),I191))</f>
        <v>0</v>
      </c>
      <c r="I191" s="8">
        <f t="shared" si="38"/>
        <v>5.569062148913506E-05</v>
      </c>
      <c r="J191" s="2">
        <f t="shared" si="31"/>
        <v>1220.7418090519864</v>
      </c>
      <c r="K191" s="2">
        <f t="shared" si="32"/>
        <v>3.2581909480136027</v>
      </c>
      <c r="L191" s="10">
        <f>_XLL.RISKOUTPUT(,"Contaminated food contact surfaces during a shift",188)+K191/(J191+K191)</f>
        <v>0.00266192070916144</v>
      </c>
      <c r="M191" s="2">
        <f>IF(J191&lt;1,0,_XLL.RISKBINOMIAL(ROUND(J191,0),N191))</f>
        <v>0</v>
      </c>
      <c r="N191" s="11">
        <f t="shared" si="39"/>
        <v>1.3308466217609727E-05</v>
      </c>
      <c r="O191" s="2">
        <f t="shared" si="40"/>
        <v>68</v>
      </c>
      <c r="P191" s="2">
        <f t="shared" si="41"/>
        <v>0</v>
      </c>
      <c r="Q191" s="10">
        <f>_XLL.RISKOUTPUT(,"Contaminated gloves during a shift",188)+P191/(O191+P191)</f>
        <v>0</v>
      </c>
      <c r="R191" s="2">
        <f>IF(O191&lt;1,0,_XLL.RISKBINOMIAL(ROUND(O191,0),S191))</f>
        <v>0</v>
      </c>
      <c r="S191" s="11">
        <f t="shared" si="33"/>
        <v>0.0002337817386286467</v>
      </c>
      <c r="U191" s="2">
        <f t="shared" si="28"/>
        <v>102</v>
      </c>
      <c r="V191" s="2">
        <f t="shared" si="29"/>
        <v>1224</v>
      </c>
      <c r="W191" s="2">
        <f t="shared" si="30"/>
        <v>68</v>
      </c>
    </row>
    <row r="192" spans="1:23" ht="12.75">
      <c r="A192">
        <v>1</v>
      </c>
      <c r="B192">
        <v>188</v>
      </c>
      <c r="C192" s="2">
        <f t="shared" si="34"/>
        <v>100.61538461538461</v>
      </c>
      <c r="D192" s="2">
        <f t="shared" si="35"/>
        <v>1.3846153846153846</v>
      </c>
      <c r="E192" s="2">
        <f t="shared" si="36"/>
        <v>10.061538461538461</v>
      </c>
      <c r="F192" s="2">
        <f t="shared" si="37"/>
        <v>0.13846153846153847</v>
      </c>
      <c r="G192" s="9">
        <f>_XLL.RISKOUTPUT(,"Contaminated food products during a shift",189)+D192/(C192+D192)</f>
        <v>0.013574660633484163</v>
      </c>
      <c r="H192" s="2">
        <f>IF(C192&lt;1,0,_XLL.RISKBINOMIAL(ROUND(C192,0),I192))</f>
        <v>0</v>
      </c>
      <c r="I192" s="8">
        <f t="shared" si="38"/>
        <v>5.569062148913506E-05</v>
      </c>
      <c r="J192" s="2">
        <f t="shared" si="31"/>
        <v>1220.7418090519864</v>
      </c>
      <c r="K192" s="2">
        <f t="shared" si="32"/>
        <v>3.2581909480136027</v>
      </c>
      <c r="L192" s="10">
        <f>_XLL.RISKOUTPUT(,"Contaminated food contact surfaces during a shift",189)+K192/(J192+K192)</f>
        <v>0.00266192070916144</v>
      </c>
      <c r="M192" s="2">
        <f>IF(J192&lt;1,0,_XLL.RISKBINOMIAL(ROUND(J192,0),N192))</f>
        <v>0</v>
      </c>
      <c r="N192" s="11">
        <f t="shared" si="39"/>
        <v>1.3308466217609727E-05</v>
      </c>
      <c r="O192" s="2">
        <f t="shared" si="40"/>
        <v>68</v>
      </c>
      <c r="P192" s="2">
        <f t="shared" si="41"/>
        <v>0</v>
      </c>
      <c r="Q192" s="10">
        <f>_XLL.RISKOUTPUT(,"Contaminated gloves during a shift",189)+P192/(O192+P192)</f>
        <v>0</v>
      </c>
      <c r="R192" s="2">
        <f>IF(O192&lt;1,0,_XLL.RISKBINOMIAL(ROUND(O192,0),S192))</f>
        <v>0</v>
      </c>
      <c r="S192" s="11">
        <f t="shared" si="33"/>
        <v>0.0002337817386286467</v>
      </c>
      <c r="U192" s="2">
        <f t="shared" si="28"/>
        <v>102</v>
      </c>
      <c r="V192" s="2">
        <f t="shared" si="29"/>
        <v>1224</v>
      </c>
      <c r="W192" s="2">
        <f t="shared" si="30"/>
        <v>68</v>
      </c>
    </row>
    <row r="193" spans="1:23" ht="12.75">
      <c r="A193">
        <v>1</v>
      </c>
      <c r="B193">
        <v>189</v>
      </c>
      <c r="C193" s="2">
        <f t="shared" si="34"/>
        <v>100.61538461538461</v>
      </c>
      <c r="D193" s="2">
        <f t="shared" si="35"/>
        <v>1.3846153846153846</v>
      </c>
      <c r="E193" s="2">
        <f t="shared" si="36"/>
        <v>10.061538461538461</v>
      </c>
      <c r="F193" s="2">
        <f t="shared" si="37"/>
        <v>0.13846153846153847</v>
      </c>
      <c r="G193" s="9">
        <f>_XLL.RISKOUTPUT(,"Contaminated food products during a shift",190)+D193/(C193+D193)</f>
        <v>0.013574660633484163</v>
      </c>
      <c r="H193" s="2">
        <f>IF(C193&lt;1,0,_XLL.RISKBINOMIAL(ROUND(C193,0),I193))</f>
        <v>0</v>
      </c>
      <c r="I193" s="8">
        <f t="shared" si="38"/>
        <v>5.569062148913506E-05</v>
      </c>
      <c r="J193" s="2">
        <f t="shared" si="31"/>
        <v>1220.7418090519864</v>
      </c>
      <c r="K193" s="2">
        <f t="shared" si="32"/>
        <v>3.2581909480136027</v>
      </c>
      <c r="L193" s="10">
        <f>_XLL.RISKOUTPUT(,"Contaminated food contact surfaces during a shift",190)+K193/(J193+K193)</f>
        <v>0.00266192070916144</v>
      </c>
      <c r="M193" s="2">
        <f>IF(J193&lt;1,0,_XLL.RISKBINOMIAL(ROUND(J193,0),N193))</f>
        <v>0</v>
      </c>
      <c r="N193" s="11">
        <f t="shared" si="39"/>
        <v>1.3308466217609727E-05</v>
      </c>
      <c r="O193" s="2">
        <f t="shared" si="40"/>
        <v>68</v>
      </c>
      <c r="P193" s="2">
        <f t="shared" si="41"/>
        <v>0</v>
      </c>
      <c r="Q193" s="10">
        <f>_XLL.RISKOUTPUT(,"Contaminated gloves during a shift",190)+P193/(O193+P193)</f>
        <v>0</v>
      </c>
      <c r="R193" s="2">
        <f>IF(O193&lt;1,0,_XLL.RISKBINOMIAL(ROUND(O193,0),S193))</f>
        <v>0</v>
      </c>
      <c r="S193" s="11">
        <f t="shared" si="33"/>
        <v>0.0002337817386286467</v>
      </c>
      <c r="U193" s="2">
        <f t="shared" si="28"/>
        <v>102</v>
      </c>
      <c r="V193" s="2">
        <f t="shared" si="29"/>
        <v>1224</v>
      </c>
      <c r="W193" s="2">
        <f t="shared" si="30"/>
        <v>68</v>
      </c>
    </row>
    <row r="194" spans="1:23" ht="12.75">
      <c r="A194">
        <v>1</v>
      </c>
      <c r="B194">
        <v>190</v>
      </c>
      <c r="C194" s="2">
        <f t="shared" si="34"/>
        <v>100.61538461538461</v>
      </c>
      <c r="D194" s="2">
        <f t="shared" si="35"/>
        <v>1.3846153846153846</v>
      </c>
      <c r="E194" s="2">
        <f t="shared" si="36"/>
        <v>10.061538461538461</v>
      </c>
      <c r="F194" s="2">
        <f t="shared" si="37"/>
        <v>0.13846153846153847</v>
      </c>
      <c r="G194" s="9">
        <f>_XLL.RISKOUTPUT(,"Contaminated food products during a shift",191)+D194/(C194+D194)</f>
        <v>0.013574660633484163</v>
      </c>
      <c r="H194" s="2">
        <f>IF(C194&lt;1,0,_XLL.RISKBINOMIAL(ROUND(C194,0),I194))</f>
        <v>0</v>
      </c>
      <c r="I194" s="8">
        <f t="shared" si="38"/>
        <v>5.569062148913506E-05</v>
      </c>
      <c r="J194" s="2">
        <f t="shared" si="31"/>
        <v>1220.7418090519864</v>
      </c>
      <c r="K194" s="2">
        <f t="shared" si="32"/>
        <v>3.2581909480136027</v>
      </c>
      <c r="L194" s="10">
        <f>_XLL.RISKOUTPUT(,"Contaminated food contact surfaces during a shift",191)+K194/(J194+K194)</f>
        <v>0.00266192070916144</v>
      </c>
      <c r="M194" s="2">
        <f>IF(J194&lt;1,0,_XLL.RISKBINOMIAL(ROUND(J194,0),N194))</f>
        <v>0</v>
      </c>
      <c r="N194" s="11">
        <f t="shared" si="39"/>
        <v>1.3308466217609727E-05</v>
      </c>
      <c r="O194" s="2">
        <f t="shared" si="40"/>
        <v>68</v>
      </c>
      <c r="P194" s="2">
        <f t="shared" si="41"/>
        <v>0</v>
      </c>
      <c r="Q194" s="10">
        <f>_XLL.RISKOUTPUT(,"Contaminated gloves during a shift",191)+P194/(O194+P194)</f>
        <v>0</v>
      </c>
      <c r="R194" s="2">
        <f>IF(O194&lt;1,0,_XLL.RISKBINOMIAL(ROUND(O194,0),S194))</f>
        <v>0</v>
      </c>
      <c r="S194" s="11">
        <f t="shared" si="33"/>
        <v>0.0002337817386286467</v>
      </c>
      <c r="U194" s="2">
        <f t="shared" si="28"/>
        <v>102</v>
      </c>
      <c r="V194" s="2">
        <f t="shared" si="29"/>
        <v>1224</v>
      </c>
      <c r="W194" s="2">
        <f t="shared" si="30"/>
        <v>68</v>
      </c>
    </row>
    <row r="195" spans="1:23" ht="12.75">
      <c r="A195">
        <v>1</v>
      </c>
      <c r="B195">
        <v>191</v>
      </c>
      <c r="C195" s="2">
        <f t="shared" si="34"/>
        <v>100.61538461538461</v>
      </c>
      <c r="D195" s="2">
        <f t="shared" si="35"/>
        <v>1.3846153846153846</v>
      </c>
      <c r="E195" s="2">
        <f t="shared" si="36"/>
        <v>10.061538461538461</v>
      </c>
      <c r="F195" s="2">
        <f t="shared" si="37"/>
        <v>0.13846153846153847</v>
      </c>
      <c r="G195" s="9">
        <f>_XLL.RISKOUTPUT(,"Contaminated food products during a shift",192)+D195/(C195+D195)</f>
        <v>0.013574660633484163</v>
      </c>
      <c r="H195" s="2">
        <f>IF(C195&lt;1,0,_XLL.RISKBINOMIAL(ROUND(C195,0),I195))</f>
        <v>0</v>
      </c>
      <c r="I195" s="8">
        <f t="shared" si="38"/>
        <v>5.569062148913506E-05</v>
      </c>
      <c r="J195" s="2">
        <f t="shared" si="31"/>
        <v>1220.7418090519864</v>
      </c>
      <c r="K195" s="2">
        <f t="shared" si="32"/>
        <v>3.2581909480136027</v>
      </c>
      <c r="L195" s="10">
        <f>_XLL.RISKOUTPUT(,"Contaminated food contact surfaces during a shift",192)+K195/(J195+K195)</f>
        <v>0.00266192070916144</v>
      </c>
      <c r="M195" s="2">
        <f>IF(J195&lt;1,0,_XLL.RISKBINOMIAL(ROUND(J195,0),N195))</f>
        <v>0</v>
      </c>
      <c r="N195" s="11">
        <f t="shared" si="39"/>
        <v>1.3308466217609727E-05</v>
      </c>
      <c r="O195" s="2">
        <f t="shared" si="40"/>
        <v>68</v>
      </c>
      <c r="P195" s="2">
        <f t="shared" si="41"/>
        <v>0</v>
      </c>
      <c r="Q195" s="10">
        <f>_XLL.RISKOUTPUT(,"Contaminated gloves during a shift",192)+P195/(O195+P195)</f>
        <v>0</v>
      </c>
      <c r="R195" s="2">
        <f>IF(O195&lt;1,0,_XLL.RISKBINOMIAL(ROUND(O195,0),S195))</f>
        <v>0</v>
      </c>
      <c r="S195" s="11">
        <f t="shared" si="33"/>
        <v>0.0002337817386286467</v>
      </c>
      <c r="U195" s="2">
        <f t="shared" si="28"/>
        <v>102</v>
      </c>
      <c r="V195" s="2">
        <f t="shared" si="29"/>
        <v>1224</v>
      </c>
      <c r="W195" s="2">
        <f t="shared" si="30"/>
        <v>68</v>
      </c>
    </row>
    <row r="196" spans="1:23" ht="12.75">
      <c r="A196">
        <v>1</v>
      </c>
      <c r="B196">
        <v>192</v>
      </c>
      <c r="C196" s="2">
        <f t="shared" si="34"/>
        <v>100.61538461538461</v>
      </c>
      <c r="D196" s="2">
        <f t="shared" si="35"/>
        <v>1.3846153846153846</v>
      </c>
      <c r="E196" s="2">
        <f t="shared" si="36"/>
        <v>10.061538461538461</v>
      </c>
      <c r="F196" s="2">
        <f t="shared" si="37"/>
        <v>0.13846153846153847</v>
      </c>
      <c r="G196" s="9">
        <f>_XLL.RISKOUTPUT(,"Contaminated food products during a shift",193)+D196/(C196+D196)</f>
        <v>0.013574660633484163</v>
      </c>
      <c r="H196" s="2">
        <f>IF(C196&lt;1,0,_XLL.RISKBINOMIAL(ROUND(C196,0),I196))</f>
        <v>0</v>
      </c>
      <c r="I196" s="8">
        <f t="shared" si="38"/>
        <v>5.569062148913506E-05</v>
      </c>
      <c r="J196" s="2">
        <f t="shared" si="31"/>
        <v>1220.7418090519864</v>
      </c>
      <c r="K196" s="2">
        <f t="shared" si="32"/>
        <v>3.2581909480136027</v>
      </c>
      <c r="L196" s="10">
        <f>_XLL.RISKOUTPUT(,"Contaminated food contact surfaces during a shift",193)+K196/(J196+K196)</f>
        <v>0.00266192070916144</v>
      </c>
      <c r="M196" s="2">
        <f>IF(J196&lt;1,0,_XLL.RISKBINOMIAL(ROUND(J196,0),N196))</f>
        <v>0</v>
      </c>
      <c r="N196" s="11">
        <f t="shared" si="39"/>
        <v>1.3308466217609727E-05</v>
      </c>
      <c r="O196" s="2">
        <f t="shared" si="40"/>
        <v>68</v>
      </c>
      <c r="P196" s="2">
        <f t="shared" si="41"/>
        <v>0</v>
      </c>
      <c r="Q196" s="10">
        <f>_XLL.RISKOUTPUT(,"Contaminated gloves during a shift",193)+P196/(O196+P196)</f>
        <v>0</v>
      </c>
      <c r="R196" s="2">
        <f>IF(O196&lt;1,0,_XLL.RISKBINOMIAL(ROUND(O196,0),S196))</f>
        <v>0</v>
      </c>
      <c r="S196" s="11">
        <f t="shared" si="33"/>
        <v>0.0002337817386286467</v>
      </c>
      <c r="U196" s="2">
        <f aca="true" t="shared" si="42" ref="U196:U259">C196+D196</f>
        <v>102</v>
      </c>
      <c r="V196" s="2">
        <f aca="true" t="shared" si="43" ref="V196:V259">J196+K196</f>
        <v>1224</v>
      </c>
      <c r="W196" s="2">
        <f aca="true" t="shared" si="44" ref="W196:W259">O196+P196</f>
        <v>68</v>
      </c>
    </row>
    <row r="197" spans="1:23" ht="12.75">
      <c r="A197">
        <v>1</v>
      </c>
      <c r="B197">
        <v>193</v>
      </c>
      <c r="C197" s="2">
        <f t="shared" si="34"/>
        <v>100.61538461538461</v>
      </c>
      <c r="D197" s="2">
        <f t="shared" si="35"/>
        <v>1.3846153846153846</v>
      </c>
      <c r="E197" s="2">
        <f t="shared" si="36"/>
        <v>10.061538461538461</v>
      </c>
      <c r="F197" s="2">
        <f t="shared" si="37"/>
        <v>0.13846153846153847</v>
      </c>
      <c r="G197" s="9">
        <f>_XLL.RISKOUTPUT(,"Contaminated food products during a shift",194)+D197/(C197+D197)</f>
        <v>0.013574660633484163</v>
      </c>
      <c r="H197" s="2">
        <f>IF(C197&lt;1,0,_XLL.RISKBINOMIAL(ROUND(C197,0),I197))</f>
        <v>0</v>
      </c>
      <c r="I197" s="8">
        <f t="shared" si="38"/>
        <v>5.569062148913506E-05</v>
      </c>
      <c r="J197" s="2">
        <f aca="true" t="shared" si="45" ref="J197:J260">IF(J196-M196+K196*(1-A197)&lt;0,0,J196-M196+K196*(1-A197))</f>
        <v>1220.7418090519864</v>
      </c>
      <c r="K197" s="2">
        <f aca="true" t="shared" si="46" ref="K197:K260">IF(K196+M196-K196*(1-A197)&lt;0,0,K196+M196-K196*(1-A197))</f>
        <v>3.2581909480136027</v>
      </c>
      <c r="L197" s="10">
        <f>_XLL.RISKOUTPUT(,"Contaminated food contact surfaces during a shift",194)+K197/(J197+K197)</f>
        <v>0.00266192070916144</v>
      </c>
      <c r="M197" s="2">
        <f>IF(J197&lt;1,0,_XLL.RISKBINOMIAL(ROUND(J197,0),N197))</f>
        <v>0</v>
      </c>
      <c r="N197" s="11">
        <f t="shared" si="39"/>
        <v>1.3308466217609727E-05</v>
      </c>
      <c r="O197" s="2">
        <f t="shared" si="40"/>
        <v>68</v>
      </c>
      <c r="P197" s="2">
        <f t="shared" si="41"/>
        <v>0</v>
      </c>
      <c r="Q197" s="10">
        <f>_XLL.RISKOUTPUT(,"Contaminated gloves during a shift",194)+P197/(O197+P197)</f>
        <v>0</v>
      </c>
      <c r="R197" s="2">
        <f>IF(O197&lt;1,0,_XLL.RISKBINOMIAL(ROUND(O197,0),S197))</f>
        <v>0</v>
      </c>
      <c r="S197" s="11">
        <f aca="true" t="shared" si="47" ref="S197:S260">(1-((1-p_FP_G)^(D197)*(1-p_FCS_G)^(K197)*(1-p_G_E)^(pE*nE)))</f>
        <v>0.0002337817386286467</v>
      </c>
      <c r="U197" s="2">
        <f t="shared" si="42"/>
        <v>102</v>
      </c>
      <c r="V197" s="2">
        <f t="shared" si="43"/>
        <v>1224</v>
      </c>
      <c r="W197" s="2">
        <f t="shared" si="44"/>
        <v>68</v>
      </c>
    </row>
    <row r="198" spans="1:23" ht="12.75">
      <c r="A198">
        <v>1</v>
      </c>
      <c r="B198">
        <v>194</v>
      </c>
      <c r="C198" s="2">
        <f aca="true" t="shared" si="48" ref="C198:C261">IF(C197-H197-pr*C197+nFP*pr*(1-pFP)&lt;0,0,C197-H197-pr*C197+nFP*pr*(1-pFP))</f>
        <v>100.61538461538461</v>
      </c>
      <c r="D198" s="2">
        <f aca="true" t="shared" si="49" ref="D198:D261">IF(D197+H197+pr*nFP*pFP-D197*pr&lt;0,0,D197+H197+pr*nFP*pFP-D197*pr)</f>
        <v>1.3846153846153846</v>
      </c>
      <c r="E198" s="2">
        <f aca="true" t="shared" si="50" ref="E198:E261">C198*pr</f>
        <v>10.061538461538461</v>
      </c>
      <c r="F198" s="2">
        <f aca="true" t="shared" si="51" ref="F198:F261">D198*pr</f>
        <v>0.13846153846153847</v>
      </c>
      <c r="G198" s="9">
        <f>_XLL.RISKOUTPUT(,"Contaminated food products during a shift",195)+D198/(C198+D198)</f>
        <v>0.013574660633484163</v>
      </c>
      <c r="H198" s="2">
        <f>IF(C198&lt;1,0,_XLL.RISKBINOMIAL(ROUND(C198,0),I198))</f>
        <v>0</v>
      </c>
      <c r="I198" s="8">
        <f aca="true" t="shared" si="52" ref="I198:I261">(1-((1-p_FCS_FP)^(K198))*((1-p_G_FP)^(P198))*((1-p_FP_FP)^(D198)))</f>
        <v>5.569062148913506E-05</v>
      </c>
      <c r="J198" s="2">
        <f t="shared" si="45"/>
        <v>1220.7418090519864</v>
      </c>
      <c r="K198" s="2">
        <f t="shared" si="46"/>
        <v>3.2581909480136027</v>
      </c>
      <c r="L198" s="10">
        <f>_XLL.RISKOUTPUT(,"Contaminated food contact surfaces during a shift",195)+K198/(J198+K198)</f>
        <v>0.00266192070916144</v>
      </c>
      <c r="M198" s="2">
        <f>IF(J198&lt;1,0,_XLL.RISKBINOMIAL(ROUND(J198,0),N198))</f>
        <v>0</v>
      </c>
      <c r="N198" s="11">
        <f aca="true" t="shared" si="53" ref="N198:N261">(1-((1-p_FP_FCS)^(D198))*((1-p_G_FCS)^(P198)))</f>
        <v>1.3308466217609727E-05</v>
      </c>
      <c r="O198" s="2">
        <f aca="true" t="shared" si="54" ref="O198:O261">IF(O197-R197+nG*G_h-O197*G_h&lt;0,0,O197-R197+nG*G_h-O197*G_h)</f>
        <v>68</v>
      </c>
      <c r="P198" s="2">
        <f aca="true" t="shared" si="55" ref="P198:P261">IF(P197+R197-P197*G_h&lt;0,0,P197+R197-P197*G_h)</f>
        <v>0</v>
      </c>
      <c r="Q198" s="10">
        <f>_XLL.RISKOUTPUT(,"Contaminated gloves during a shift",195)+P198/(O198+P198)</f>
        <v>0</v>
      </c>
      <c r="R198" s="2">
        <f>IF(O198&lt;1,0,_XLL.RISKBINOMIAL(ROUND(O198,0),S198))</f>
        <v>0</v>
      </c>
      <c r="S198" s="11">
        <f t="shared" si="47"/>
        <v>0.0002337817386286467</v>
      </c>
      <c r="U198" s="2">
        <f t="shared" si="42"/>
        <v>102</v>
      </c>
      <c r="V198" s="2">
        <f t="shared" si="43"/>
        <v>1224</v>
      </c>
      <c r="W198" s="2">
        <f t="shared" si="44"/>
        <v>68</v>
      </c>
    </row>
    <row r="199" spans="1:23" ht="12.75">
      <c r="A199">
        <v>1</v>
      </c>
      <c r="B199">
        <v>195</v>
      </c>
      <c r="C199" s="2">
        <f t="shared" si="48"/>
        <v>100.61538461538461</v>
      </c>
      <c r="D199" s="2">
        <f t="shared" si="49"/>
        <v>1.3846153846153846</v>
      </c>
      <c r="E199" s="2">
        <f t="shared" si="50"/>
        <v>10.061538461538461</v>
      </c>
      <c r="F199" s="2">
        <f t="shared" si="51"/>
        <v>0.13846153846153847</v>
      </c>
      <c r="G199" s="9">
        <f>_XLL.RISKOUTPUT(,"Contaminated food products during a shift",196)+D199/(C199+D199)</f>
        <v>0.013574660633484163</v>
      </c>
      <c r="H199" s="2">
        <f>IF(C199&lt;1,0,_XLL.RISKBINOMIAL(ROUND(C199,0),I199))</f>
        <v>0</v>
      </c>
      <c r="I199" s="8">
        <f t="shared" si="52"/>
        <v>5.569062148913506E-05</v>
      </c>
      <c r="J199" s="2">
        <f t="shared" si="45"/>
        <v>1220.7418090519864</v>
      </c>
      <c r="K199" s="2">
        <f t="shared" si="46"/>
        <v>3.2581909480136027</v>
      </c>
      <c r="L199" s="10">
        <f>_XLL.RISKOUTPUT(,"Contaminated food contact surfaces during a shift",196)+K199/(J199+K199)</f>
        <v>0.00266192070916144</v>
      </c>
      <c r="M199" s="2">
        <f>IF(J199&lt;1,0,_XLL.RISKBINOMIAL(ROUND(J199,0),N199))</f>
        <v>0</v>
      </c>
      <c r="N199" s="11">
        <f t="shared" si="53"/>
        <v>1.3308466217609727E-05</v>
      </c>
      <c r="O199" s="2">
        <f t="shared" si="54"/>
        <v>68</v>
      </c>
      <c r="P199" s="2">
        <f t="shared" si="55"/>
        <v>0</v>
      </c>
      <c r="Q199" s="10">
        <f>_XLL.RISKOUTPUT(,"Contaminated gloves during a shift",196)+P199/(O199+P199)</f>
        <v>0</v>
      </c>
      <c r="R199" s="2">
        <f>IF(O199&lt;1,0,_XLL.RISKBINOMIAL(ROUND(O199,0),S199))</f>
        <v>0</v>
      </c>
      <c r="S199" s="11">
        <f t="shared" si="47"/>
        <v>0.0002337817386286467</v>
      </c>
      <c r="U199" s="2">
        <f t="shared" si="42"/>
        <v>102</v>
      </c>
      <c r="V199" s="2">
        <f t="shared" si="43"/>
        <v>1224</v>
      </c>
      <c r="W199" s="2">
        <f t="shared" si="44"/>
        <v>68</v>
      </c>
    </row>
    <row r="200" spans="1:23" ht="12.75">
      <c r="A200">
        <v>1</v>
      </c>
      <c r="B200">
        <v>196</v>
      </c>
      <c r="C200" s="2">
        <f t="shared" si="48"/>
        <v>100.61538461538461</v>
      </c>
      <c r="D200" s="2">
        <f t="shared" si="49"/>
        <v>1.3846153846153846</v>
      </c>
      <c r="E200" s="2">
        <f t="shared" si="50"/>
        <v>10.061538461538461</v>
      </c>
      <c r="F200" s="2">
        <f t="shared" si="51"/>
        <v>0.13846153846153847</v>
      </c>
      <c r="G200" s="9">
        <f>_XLL.RISKOUTPUT(,"Contaminated food products during a shift",197)+D200/(C200+D200)</f>
        <v>0.013574660633484163</v>
      </c>
      <c r="H200" s="2">
        <f>IF(C200&lt;1,0,_XLL.RISKBINOMIAL(ROUND(C200,0),I200))</f>
        <v>0</v>
      </c>
      <c r="I200" s="8">
        <f t="shared" si="52"/>
        <v>5.569062148913506E-05</v>
      </c>
      <c r="J200" s="2">
        <f t="shared" si="45"/>
        <v>1220.7418090519864</v>
      </c>
      <c r="K200" s="2">
        <f t="shared" si="46"/>
        <v>3.2581909480136027</v>
      </c>
      <c r="L200" s="10">
        <f>_XLL.RISKOUTPUT(,"Contaminated food contact surfaces during a shift",197)+K200/(J200+K200)</f>
        <v>0.00266192070916144</v>
      </c>
      <c r="M200" s="2">
        <f>IF(J200&lt;1,0,_XLL.RISKBINOMIAL(ROUND(J200,0),N200))</f>
        <v>0</v>
      </c>
      <c r="N200" s="11">
        <f t="shared" si="53"/>
        <v>1.3308466217609727E-05</v>
      </c>
      <c r="O200" s="2">
        <f t="shared" si="54"/>
        <v>68</v>
      </c>
      <c r="P200" s="2">
        <f t="shared" si="55"/>
        <v>0</v>
      </c>
      <c r="Q200" s="10">
        <f>_XLL.RISKOUTPUT(,"Contaminated gloves during a shift",197)+P200/(O200+P200)</f>
        <v>0</v>
      </c>
      <c r="R200" s="2">
        <f>IF(O200&lt;1,0,_XLL.RISKBINOMIAL(ROUND(O200,0),S200))</f>
        <v>0</v>
      </c>
      <c r="S200" s="11">
        <f t="shared" si="47"/>
        <v>0.0002337817386286467</v>
      </c>
      <c r="U200" s="2">
        <f t="shared" si="42"/>
        <v>102</v>
      </c>
      <c r="V200" s="2">
        <f t="shared" si="43"/>
        <v>1224</v>
      </c>
      <c r="W200" s="2">
        <f t="shared" si="44"/>
        <v>68</v>
      </c>
    </row>
    <row r="201" spans="1:23" ht="12.75">
      <c r="A201">
        <v>1</v>
      </c>
      <c r="B201">
        <v>197</v>
      </c>
      <c r="C201" s="2">
        <f t="shared" si="48"/>
        <v>100.61538461538461</v>
      </c>
      <c r="D201" s="2">
        <f t="shared" si="49"/>
        <v>1.3846153846153846</v>
      </c>
      <c r="E201" s="2">
        <f t="shared" si="50"/>
        <v>10.061538461538461</v>
      </c>
      <c r="F201" s="2">
        <f t="shared" si="51"/>
        <v>0.13846153846153847</v>
      </c>
      <c r="G201" s="9">
        <f>_XLL.RISKOUTPUT(,"Contaminated food products during a shift",198)+D201/(C201+D201)</f>
        <v>0.013574660633484163</v>
      </c>
      <c r="H201" s="2">
        <f>IF(C201&lt;1,0,_XLL.RISKBINOMIAL(ROUND(C201,0),I201))</f>
        <v>0</v>
      </c>
      <c r="I201" s="8">
        <f t="shared" si="52"/>
        <v>5.569062148913506E-05</v>
      </c>
      <c r="J201" s="2">
        <f t="shared" si="45"/>
        <v>1220.7418090519864</v>
      </c>
      <c r="K201" s="2">
        <f t="shared" si="46"/>
        <v>3.2581909480136027</v>
      </c>
      <c r="L201" s="10">
        <f>_XLL.RISKOUTPUT(,"Contaminated food contact surfaces during a shift",198)+K201/(J201+K201)</f>
        <v>0.00266192070916144</v>
      </c>
      <c r="M201" s="2">
        <f>IF(J201&lt;1,0,_XLL.RISKBINOMIAL(ROUND(J201,0),N201))</f>
        <v>0</v>
      </c>
      <c r="N201" s="11">
        <f t="shared" si="53"/>
        <v>1.3308466217609727E-05</v>
      </c>
      <c r="O201" s="2">
        <f t="shared" si="54"/>
        <v>68</v>
      </c>
      <c r="P201" s="2">
        <f t="shared" si="55"/>
        <v>0</v>
      </c>
      <c r="Q201" s="10">
        <f>_XLL.RISKOUTPUT(,"Contaminated gloves during a shift",198)+P201/(O201+P201)</f>
        <v>0</v>
      </c>
      <c r="R201" s="2">
        <f>IF(O201&lt;1,0,_XLL.RISKBINOMIAL(ROUND(O201,0),S201))</f>
        <v>0</v>
      </c>
      <c r="S201" s="11">
        <f t="shared" si="47"/>
        <v>0.0002337817386286467</v>
      </c>
      <c r="U201" s="2">
        <f t="shared" si="42"/>
        <v>102</v>
      </c>
      <c r="V201" s="2">
        <f t="shared" si="43"/>
        <v>1224</v>
      </c>
      <c r="W201" s="2">
        <f t="shared" si="44"/>
        <v>68</v>
      </c>
    </row>
    <row r="202" spans="1:23" ht="12.75">
      <c r="A202">
        <v>1</v>
      </c>
      <c r="B202">
        <v>198</v>
      </c>
      <c r="C202" s="2">
        <f t="shared" si="48"/>
        <v>100.61538461538461</v>
      </c>
      <c r="D202" s="2">
        <f t="shared" si="49"/>
        <v>1.3846153846153846</v>
      </c>
      <c r="E202" s="2">
        <f t="shared" si="50"/>
        <v>10.061538461538461</v>
      </c>
      <c r="F202" s="2">
        <f t="shared" si="51"/>
        <v>0.13846153846153847</v>
      </c>
      <c r="G202" s="9">
        <f>_XLL.RISKOUTPUT(,"Contaminated food products during a shift",199)+D202/(C202+D202)</f>
        <v>0.013574660633484163</v>
      </c>
      <c r="H202" s="2">
        <f>IF(C202&lt;1,0,_XLL.RISKBINOMIAL(ROUND(C202,0),I202))</f>
        <v>0</v>
      </c>
      <c r="I202" s="8">
        <f t="shared" si="52"/>
        <v>5.569062148913506E-05</v>
      </c>
      <c r="J202" s="2">
        <f t="shared" si="45"/>
        <v>1220.7418090519864</v>
      </c>
      <c r="K202" s="2">
        <f t="shared" si="46"/>
        <v>3.2581909480136027</v>
      </c>
      <c r="L202" s="10">
        <f>_XLL.RISKOUTPUT(,"Contaminated food contact surfaces during a shift",199)+K202/(J202+K202)</f>
        <v>0.00266192070916144</v>
      </c>
      <c r="M202" s="2">
        <f>IF(J202&lt;1,0,_XLL.RISKBINOMIAL(ROUND(J202,0),N202))</f>
        <v>0</v>
      </c>
      <c r="N202" s="11">
        <f t="shared" si="53"/>
        <v>1.3308466217609727E-05</v>
      </c>
      <c r="O202" s="2">
        <f t="shared" si="54"/>
        <v>68</v>
      </c>
      <c r="P202" s="2">
        <f t="shared" si="55"/>
        <v>0</v>
      </c>
      <c r="Q202" s="10">
        <f>_XLL.RISKOUTPUT(,"Contaminated gloves during a shift",199)+P202/(O202+P202)</f>
        <v>0</v>
      </c>
      <c r="R202" s="2">
        <f>IF(O202&lt;1,0,_XLL.RISKBINOMIAL(ROUND(O202,0),S202))</f>
        <v>0</v>
      </c>
      <c r="S202" s="11">
        <f t="shared" si="47"/>
        <v>0.0002337817386286467</v>
      </c>
      <c r="U202" s="2">
        <f t="shared" si="42"/>
        <v>102</v>
      </c>
      <c r="V202" s="2">
        <f t="shared" si="43"/>
        <v>1224</v>
      </c>
      <c r="W202" s="2">
        <f t="shared" si="44"/>
        <v>68</v>
      </c>
    </row>
    <row r="203" spans="1:23" ht="12.75">
      <c r="A203">
        <v>1</v>
      </c>
      <c r="B203">
        <v>199</v>
      </c>
      <c r="C203" s="2">
        <f t="shared" si="48"/>
        <v>100.61538461538461</v>
      </c>
      <c r="D203" s="2">
        <f t="shared" si="49"/>
        <v>1.3846153846153846</v>
      </c>
      <c r="E203" s="2">
        <f t="shared" si="50"/>
        <v>10.061538461538461</v>
      </c>
      <c r="F203" s="2">
        <f t="shared" si="51"/>
        <v>0.13846153846153847</v>
      </c>
      <c r="G203" s="9">
        <f>_XLL.RISKOUTPUT(,"Contaminated food products during a shift",200)+D203/(C203+D203)</f>
        <v>0.013574660633484163</v>
      </c>
      <c r="H203" s="2">
        <f>IF(C203&lt;1,0,_XLL.RISKBINOMIAL(ROUND(C203,0),I203))</f>
        <v>0</v>
      </c>
      <c r="I203" s="8">
        <f t="shared" si="52"/>
        <v>5.569062148913506E-05</v>
      </c>
      <c r="J203" s="2">
        <f t="shared" si="45"/>
        <v>1220.7418090519864</v>
      </c>
      <c r="K203" s="2">
        <f t="shared" si="46"/>
        <v>3.2581909480136027</v>
      </c>
      <c r="L203" s="10">
        <f>_XLL.RISKOUTPUT(,"Contaminated food contact surfaces during a shift",200)+K203/(J203+K203)</f>
        <v>0.00266192070916144</v>
      </c>
      <c r="M203" s="2">
        <f>IF(J203&lt;1,0,_XLL.RISKBINOMIAL(ROUND(J203,0),N203))</f>
        <v>0</v>
      </c>
      <c r="N203" s="11">
        <f t="shared" si="53"/>
        <v>1.3308466217609727E-05</v>
      </c>
      <c r="O203" s="2">
        <f t="shared" si="54"/>
        <v>68</v>
      </c>
      <c r="P203" s="2">
        <f t="shared" si="55"/>
        <v>0</v>
      </c>
      <c r="Q203" s="10">
        <f>_XLL.RISKOUTPUT(,"Contaminated gloves during a shift",200)+P203/(O203+P203)</f>
        <v>0</v>
      </c>
      <c r="R203" s="2">
        <f>IF(O203&lt;1,0,_XLL.RISKBINOMIAL(ROUND(O203,0),S203))</f>
        <v>0</v>
      </c>
      <c r="S203" s="11">
        <f t="shared" si="47"/>
        <v>0.0002337817386286467</v>
      </c>
      <c r="U203" s="2">
        <f t="shared" si="42"/>
        <v>102</v>
      </c>
      <c r="V203" s="2">
        <f t="shared" si="43"/>
        <v>1224</v>
      </c>
      <c r="W203" s="2">
        <f t="shared" si="44"/>
        <v>68</v>
      </c>
    </row>
    <row r="204" spans="1:23" ht="12.75">
      <c r="A204">
        <v>1</v>
      </c>
      <c r="B204">
        <v>200</v>
      </c>
      <c r="C204" s="2">
        <f t="shared" si="48"/>
        <v>100.61538461538461</v>
      </c>
      <c r="D204" s="2">
        <f t="shared" si="49"/>
        <v>1.3846153846153846</v>
      </c>
      <c r="E204" s="2">
        <f t="shared" si="50"/>
        <v>10.061538461538461</v>
      </c>
      <c r="F204" s="2">
        <f t="shared" si="51"/>
        <v>0.13846153846153847</v>
      </c>
      <c r="G204" s="9">
        <f>_XLL.RISKOUTPUT(,"Contaminated food products during a shift",201)+D204/(C204+D204)</f>
        <v>0.013574660633484163</v>
      </c>
      <c r="H204" s="2">
        <f>IF(C204&lt;1,0,_XLL.RISKBINOMIAL(ROUND(C204,0),I204))</f>
        <v>0</v>
      </c>
      <c r="I204" s="8">
        <f t="shared" si="52"/>
        <v>5.569062148913506E-05</v>
      </c>
      <c r="J204" s="2">
        <f t="shared" si="45"/>
        <v>1220.7418090519864</v>
      </c>
      <c r="K204" s="2">
        <f t="shared" si="46"/>
        <v>3.2581909480136027</v>
      </c>
      <c r="L204" s="10">
        <f>_XLL.RISKOUTPUT(,"Contaminated food contact surfaces during a shift",201)+K204/(J204+K204)</f>
        <v>0.00266192070916144</v>
      </c>
      <c r="M204" s="2">
        <f>IF(J204&lt;1,0,_XLL.RISKBINOMIAL(ROUND(J204,0),N204))</f>
        <v>0</v>
      </c>
      <c r="N204" s="11">
        <f t="shared" si="53"/>
        <v>1.3308466217609727E-05</v>
      </c>
      <c r="O204" s="2">
        <f t="shared" si="54"/>
        <v>68</v>
      </c>
      <c r="P204" s="2">
        <f t="shared" si="55"/>
        <v>0</v>
      </c>
      <c r="Q204" s="10">
        <f>_XLL.RISKOUTPUT(,"Contaminated gloves during a shift",201)+P204/(O204+P204)</f>
        <v>0</v>
      </c>
      <c r="R204" s="2">
        <f>IF(O204&lt;1,0,_XLL.RISKBINOMIAL(ROUND(O204,0),S204))</f>
        <v>0</v>
      </c>
      <c r="S204" s="11">
        <f t="shared" si="47"/>
        <v>0.0002337817386286467</v>
      </c>
      <c r="U204" s="2">
        <f t="shared" si="42"/>
        <v>102</v>
      </c>
      <c r="V204" s="2">
        <f t="shared" si="43"/>
        <v>1224</v>
      </c>
      <c r="W204" s="2">
        <f t="shared" si="44"/>
        <v>68</v>
      </c>
    </row>
    <row r="205" spans="1:23" ht="12.75">
      <c r="A205">
        <v>1</v>
      </c>
      <c r="B205">
        <v>201</v>
      </c>
      <c r="C205" s="2">
        <f t="shared" si="48"/>
        <v>100.61538461538461</v>
      </c>
      <c r="D205" s="2">
        <f t="shared" si="49"/>
        <v>1.3846153846153846</v>
      </c>
      <c r="E205" s="2">
        <f t="shared" si="50"/>
        <v>10.061538461538461</v>
      </c>
      <c r="F205" s="2">
        <f t="shared" si="51"/>
        <v>0.13846153846153847</v>
      </c>
      <c r="G205" s="9">
        <f>_XLL.RISKOUTPUT(,"Contaminated food products during a shift",202)+D205/(C205+D205)</f>
        <v>0.013574660633484163</v>
      </c>
      <c r="H205" s="2">
        <f>IF(C205&lt;1,0,_XLL.RISKBINOMIAL(ROUND(C205,0),I205))</f>
        <v>0</v>
      </c>
      <c r="I205" s="8">
        <f t="shared" si="52"/>
        <v>5.569062148913506E-05</v>
      </c>
      <c r="J205" s="2">
        <f t="shared" si="45"/>
        <v>1220.7418090519864</v>
      </c>
      <c r="K205" s="2">
        <f t="shared" si="46"/>
        <v>3.2581909480136027</v>
      </c>
      <c r="L205" s="10">
        <f>_XLL.RISKOUTPUT(,"Contaminated food contact surfaces during a shift",202)+K205/(J205+K205)</f>
        <v>0.00266192070916144</v>
      </c>
      <c r="M205" s="2">
        <f>IF(J205&lt;1,0,_XLL.RISKBINOMIAL(ROUND(J205,0),N205))</f>
        <v>0</v>
      </c>
      <c r="N205" s="11">
        <f t="shared" si="53"/>
        <v>1.3308466217609727E-05</v>
      </c>
      <c r="O205" s="2">
        <f t="shared" si="54"/>
        <v>68</v>
      </c>
      <c r="P205" s="2">
        <f t="shared" si="55"/>
        <v>0</v>
      </c>
      <c r="Q205" s="10">
        <f>_XLL.RISKOUTPUT(,"Contaminated gloves during a shift",202)+P205/(O205+P205)</f>
        <v>0</v>
      </c>
      <c r="R205" s="2">
        <f>IF(O205&lt;1,0,_XLL.RISKBINOMIAL(ROUND(O205,0),S205))</f>
        <v>0</v>
      </c>
      <c r="S205" s="11">
        <f t="shared" si="47"/>
        <v>0.0002337817386286467</v>
      </c>
      <c r="U205" s="2">
        <f t="shared" si="42"/>
        <v>102</v>
      </c>
      <c r="V205" s="2">
        <f t="shared" si="43"/>
        <v>1224</v>
      </c>
      <c r="W205" s="2">
        <f t="shared" si="44"/>
        <v>68</v>
      </c>
    </row>
    <row r="206" spans="1:23" ht="12.75">
      <c r="A206">
        <v>1</v>
      </c>
      <c r="B206">
        <v>202</v>
      </c>
      <c r="C206" s="2">
        <f t="shared" si="48"/>
        <v>100.61538461538461</v>
      </c>
      <c r="D206" s="2">
        <f t="shared" si="49"/>
        <v>1.3846153846153846</v>
      </c>
      <c r="E206" s="2">
        <f t="shared" si="50"/>
        <v>10.061538461538461</v>
      </c>
      <c r="F206" s="2">
        <f t="shared" si="51"/>
        <v>0.13846153846153847</v>
      </c>
      <c r="G206" s="9">
        <f>_XLL.RISKOUTPUT(,"Contaminated food products during a shift",203)+D206/(C206+D206)</f>
        <v>0.013574660633484163</v>
      </c>
      <c r="H206" s="2">
        <f>IF(C206&lt;1,0,_XLL.RISKBINOMIAL(ROUND(C206,0),I206))</f>
        <v>0</v>
      </c>
      <c r="I206" s="8">
        <f t="shared" si="52"/>
        <v>5.569062148913506E-05</v>
      </c>
      <c r="J206" s="2">
        <f t="shared" si="45"/>
        <v>1220.7418090519864</v>
      </c>
      <c r="K206" s="2">
        <f t="shared" si="46"/>
        <v>3.2581909480136027</v>
      </c>
      <c r="L206" s="10">
        <f>_XLL.RISKOUTPUT(,"Contaminated food contact surfaces during a shift",203)+K206/(J206+K206)</f>
        <v>0.00266192070916144</v>
      </c>
      <c r="M206" s="2">
        <f>IF(J206&lt;1,0,_XLL.RISKBINOMIAL(ROUND(J206,0),N206))</f>
        <v>0</v>
      </c>
      <c r="N206" s="11">
        <f t="shared" si="53"/>
        <v>1.3308466217609727E-05</v>
      </c>
      <c r="O206" s="2">
        <f t="shared" si="54"/>
        <v>68</v>
      </c>
      <c r="P206" s="2">
        <f t="shared" si="55"/>
        <v>0</v>
      </c>
      <c r="Q206" s="10">
        <f>_XLL.RISKOUTPUT(,"Contaminated gloves during a shift",203)+P206/(O206+P206)</f>
        <v>0</v>
      </c>
      <c r="R206" s="2">
        <f>IF(O206&lt;1,0,_XLL.RISKBINOMIAL(ROUND(O206,0),S206))</f>
        <v>0</v>
      </c>
      <c r="S206" s="11">
        <f t="shared" si="47"/>
        <v>0.0002337817386286467</v>
      </c>
      <c r="U206" s="2">
        <f t="shared" si="42"/>
        <v>102</v>
      </c>
      <c r="V206" s="2">
        <f t="shared" si="43"/>
        <v>1224</v>
      </c>
      <c r="W206" s="2">
        <f t="shared" si="44"/>
        <v>68</v>
      </c>
    </row>
    <row r="207" spans="1:23" ht="12.75">
      <c r="A207">
        <v>1</v>
      </c>
      <c r="B207">
        <v>203</v>
      </c>
      <c r="C207" s="2">
        <f t="shared" si="48"/>
        <v>100.61538461538461</v>
      </c>
      <c r="D207" s="2">
        <f t="shared" si="49"/>
        <v>1.3846153846153846</v>
      </c>
      <c r="E207" s="2">
        <f t="shared" si="50"/>
        <v>10.061538461538461</v>
      </c>
      <c r="F207" s="2">
        <f t="shared" si="51"/>
        <v>0.13846153846153847</v>
      </c>
      <c r="G207" s="9">
        <f>_XLL.RISKOUTPUT(,"Contaminated food products during a shift",204)+D207/(C207+D207)</f>
        <v>0.013574660633484163</v>
      </c>
      <c r="H207" s="2">
        <f>IF(C207&lt;1,0,_XLL.RISKBINOMIAL(ROUND(C207,0),I207))</f>
        <v>0</v>
      </c>
      <c r="I207" s="8">
        <f t="shared" si="52"/>
        <v>5.569062148913506E-05</v>
      </c>
      <c r="J207" s="2">
        <f t="shared" si="45"/>
        <v>1220.7418090519864</v>
      </c>
      <c r="K207" s="2">
        <f t="shared" si="46"/>
        <v>3.2581909480136027</v>
      </c>
      <c r="L207" s="10">
        <f>_XLL.RISKOUTPUT(,"Contaminated food contact surfaces during a shift",204)+K207/(J207+K207)</f>
        <v>0.00266192070916144</v>
      </c>
      <c r="M207" s="2">
        <f>IF(J207&lt;1,0,_XLL.RISKBINOMIAL(ROUND(J207,0),N207))</f>
        <v>0</v>
      </c>
      <c r="N207" s="11">
        <f t="shared" si="53"/>
        <v>1.3308466217609727E-05</v>
      </c>
      <c r="O207" s="2">
        <f t="shared" si="54"/>
        <v>68</v>
      </c>
      <c r="P207" s="2">
        <f t="shared" si="55"/>
        <v>0</v>
      </c>
      <c r="Q207" s="10">
        <f>_XLL.RISKOUTPUT(,"Contaminated gloves during a shift",204)+P207/(O207+P207)</f>
        <v>0</v>
      </c>
      <c r="R207" s="2">
        <f>IF(O207&lt;1,0,_XLL.RISKBINOMIAL(ROUND(O207,0),S207))</f>
        <v>0</v>
      </c>
      <c r="S207" s="11">
        <f t="shared" si="47"/>
        <v>0.0002337817386286467</v>
      </c>
      <c r="U207" s="2">
        <f t="shared" si="42"/>
        <v>102</v>
      </c>
      <c r="V207" s="2">
        <f t="shared" si="43"/>
        <v>1224</v>
      </c>
      <c r="W207" s="2">
        <f t="shared" si="44"/>
        <v>68</v>
      </c>
    </row>
    <row r="208" spans="1:23" ht="12.75">
      <c r="A208">
        <v>1</v>
      </c>
      <c r="B208">
        <v>204</v>
      </c>
      <c r="C208" s="2">
        <f t="shared" si="48"/>
        <v>100.61538461538461</v>
      </c>
      <c r="D208" s="2">
        <f t="shared" si="49"/>
        <v>1.3846153846153846</v>
      </c>
      <c r="E208" s="2">
        <f t="shared" si="50"/>
        <v>10.061538461538461</v>
      </c>
      <c r="F208" s="2">
        <f t="shared" si="51"/>
        <v>0.13846153846153847</v>
      </c>
      <c r="G208" s="9">
        <f>_XLL.RISKOUTPUT(,"Contaminated food products during a shift",205)+D208/(C208+D208)</f>
        <v>0.013574660633484163</v>
      </c>
      <c r="H208" s="2">
        <f>IF(C208&lt;1,0,_XLL.RISKBINOMIAL(ROUND(C208,0),I208))</f>
        <v>0</v>
      </c>
      <c r="I208" s="8">
        <f t="shared" si="52"/>
        <v>5.569062148913506E-05</v>
      </c>
      <c r="J208" s="2">
        <f t="shared" si="45"/>
        <v>1220.7418090519864</v>
      </c>
      <c r="K208" s="2">
        <f t="shared" si="46"/>
        <v>3.2581909480136027</v>
      </c>
      <c r="L208" s="10">
        <f>_XLL.RISKOUTPUT(,"Contaminated food contact surfaces during a shift",205)+K208/(J208+K208)</f>
        <v>0.00266192070916144</v>
      </c>
      <c r="M208" s="2">
        <f>IF(J208&lt;1,0,_XLL.RISKBINOMIAL(ROUND(J208,0),N208))</f>
        <v>0</v>
      </c>
      <c r="N208" s="11">
        <f t="shared" si="53"/>
        <v>1.3308466217609727E-05</v>
      </c>
      <c r="O208" s="2">
        <f t="shared" si="54"/>
        <v>68</v>
      </c>
      <c r="P208" s="2">
        <f t="shared" si="55"/>
        <v>0</v>
      </c>
      <c r="Q208" s="10">
        <f>_XLL.RISKOUTPUT(,"Contaminated gloves during a shift",205)+P208/(O208+P208)</f>
        <v>0</v>
      </c>
      <c r="R208" s="2">
        <f>IF(O208&lt;1,0,_XLL.RISKBINOMIAL(ROUND(O208,0),S208))</f>
        <v>0</v>
      </c>
      <c r="S208" s="11">
        <f t="shared" si="47"/>
        <v>0.0002337817386286467</v>
      </c>
      <c r="U208" s="2">
        <f t="shared" si="42"/>
        <v>102</v>
      </c>
      <c r="V208" s="2">
        <f t="shared" si="43"/>
        <v>1224</v>
      </c>
      <c r="W208" s="2">
        <f t="shared" si="44"/>
        <v>68</v>
      </c>
    </row>
    <row r="209" spans="1:23" ht="12.75">
      <c r="A209">
        <v>1</v>
      </c>
      <c r="B209">
        <v>205</v>
      </c>
      <c r="C209" s="2">
        <f t="shared" si="48"/>
        <v>100.61538461538461</v>
      </c>
      <c r="D209" s="2">
        <f t="shared" si="49"/>
        <v>1.3846153846153846</v>
      </c>
      <c r="E209" s="2">
        <f t="shared" si="50"/>
        <v>10.061538461538461</v>
      </c>
      <c r="F209" s="2">
        <f t="shared" si="51"/>
        <v>0.13846153846153847</v>
      </c>
      <c r="G209" s="9">
        <f>_XLL.RISKOUTPUT(,"Contaminated food products during a shift",206)+D209/(C209+D209)</f>
        <v>0.013574660633484163</v>
      </c>
      <c r="H209" s="2">
        <f>IF(C209&lt;1,0,_XLL.RISKBINOMIAL(ROUND(C209,0),I209))</f>
        <v>0</v>
      </c>
      <c r="I209" s="8">
        <f t="shared" si="52"/>
        <v>5.569062148913506E-05</v>
      </c>
      <c r="J209" s="2">
        <f t="shared" si="45"/>
        <v>1220.7418090519864</v>
      </c>
      <c r="K209" s="2">
        <f t="shared" si="46"/>
        <v>3.2581909480136027</v>
      </c>
      <c r="L209" s="10">
        <f>_XLL.RISKOUTPUT(,"Contaminated food contact surfaces during a shift",206)+K209/(J209+K209)</f>
        <v>0.00266192070916144</v>
      </c>
      <c r="M209" s="2">
        <f>IF(J209&lt;1,0,_XLL.RISKBINOMIAL(ROUND(J209,0),N209))</f>
        <v>0</v>
      </c>
      <c r="N209" s="11">
        <f t="shared" si="53"/>
        <v>1.3308466217609727E-05</v>
      </c>
      <c r="O209" s="2">
        <f t="shared" si="54"/>
        <v>68</v>
      </c>
      <c r="P209" s="2">
        <f t="shared" si="55"/>
        <v>0</v>
      </c>
      <c r="Q209" s="10">
        <f>_XLL.RISKOUTPUT(,"Contaminated gloves during a shift",206)+P209/(O209+P209)</f>
        <v>0</v>
      </c>
      <c r="R209" s="2">
        <f>IF(O209&lt;1,0,_XLL.RISKBINOMIAL(ROUND(O209,0),S209))</f>
        <v>0</v>
      </c>
      <c r="S209" s="11">
        <f t="shared" si="47"/>
        <v>0.0002337817386286467</v>
      </c>
      <c r="U209" s="2">
        <f t="shared" si="42"/>
        <v>102</v>
      </c>
      <c r="V209" s="2">
        <f t="shared" si="43"/>
        <v>1224</v>
      </c>
      <c r="W209" s="2">
        <f t="shared" si="44"/>
        <v>68</v>
      </c>
    </row>
    <row r="210" spans="1:23" ht="12.75">
      <c r="A210">
        <v>1</v>
      </c>
      <c r="B210">
        <v>206</v>
      </c>
      <c r="C210" s="2">
        <f t="shared" si="48"/>
        <v>100.61538461538461</v>
      </c>
      <c r="D210" s="2">
        <f t="shared" si="49"/>
        <v>1.3846153846153846</v>
      </c>
      <c r="E210" s="2">
        <f t="shared" si="50"/>
        <v>10.061538461538461</v>
      </c>
      <c r="F210" s="2">
        <f t="shared" si="51"/>
        <v>0.13846153846153847</v>
      </c>
      <c r="G210" s="9">
        <f>_XLL.RISKOUTPUT(,"Contaminated food products during a shift",207)+D210/(C210+D210)</f>
        <v>0.013574660633484163</v>
      </c>
      <c r="H210" s="2">
        <f>IF(C210&lt;1,0,_XLL.RISKBINOMIAL(ROUND(C210,0),I210))</f>
        <v>0</v>
      </c>
      <c r="I210" s="8">
        <f t="shared" si="52"/>
        <v>5.569062148913506E-05</v>
      </c>
      <c r="J210" s="2">
        <f t="shared" si="45"/>
        <v>1220.7418090519864</v>
      </c>
      <c r="K210" s="2">
        <f t="shared" si="46"/>
        <v>3.2581909480136027</v>
      </c>
      <c r="L210" s="10">
        <f>_XLL.RISKOUTPUT(,"Contaminated food contact surfaces during a shift",207)+K210/(J210+K210)</f>
        <v>0.00266192070916144</v>
      </c>
      <c r="M210" s="2">
        <f>IF(J210&lt;1,0,_XLL.RISKBINOMIAL(ROUND(J210,0),N210))</f>
        <v>0</v>
      </c>
      <c r="N210" s="11">
        <f t="shared" si="53"/>
        <v>1.3308466217609727E-05</v>
      </c>
      <c r="O210" s="2">
        <f t="shared" si="54"/>
        <v>68</v>
      </c>
      <c r="P210" s="2">
        <f t="shared" si="55"/>
        <v>0</v>
      </c>
      <c r="Q210" s="10">
        <f>_XLL.RISKOUTPUT(,"Contaminated gloves during a shift",207)+P210/(O210+P210)</f>
        <v>0</v>
      </c>
      <c r="R210" s="2">
        <f>IF(O210&lt;1,0,_XLL.RISKBINOMIAL(ROUND(O210,0),S210))</f>
        <v>0</v>
      </c>
      <c r="S210" s="11">
        <f t="shared" si="47"/>
        <v>0.0002337817386286467</v>
      </c>
      <c r="U210" s="2">
        <f t="shared" si="42"/>
        <v>102</v>
      </c>
      <c r="V210" s="2">
        <f t="shared" si="43"/>
        <v>1224</v>
      </c>
      <c r="W210" s="2">
        <f t="shared" si="44"/>
        <v>68</v>
      </c>
    </row>
    <row r="211" spans="1:23" ht="12.75">
      <c r="A211">
        <v>1</v>
      </c>
      <c r="B211">
        <v>207</v>
      </c>
      <c r="C211" s="2">
        <f t="shared" si="48"/>
        <v>100.61538461538461</v>
      </c>
      <c r="D211" s="2">
        <f t="shared" si="49"/>
        <v>1.3846153846153846</v>
      </c>
      <c r="E211" s="2">
        <f t="shared" si="50"/>
        <v>10.061538461538461</v>
      </c>
      <c r="F211" s="2">
        <f t="shared" si="51"/>
        <v>0.13846153846153847</v>
      </c>
      <c r="G211" s="9">
        <f>_XLL.RISKOUTPUT(,"Contaminated food products during a shift",208)+D211/(C211+D211)</f>
        <v>0.013574660633484163</v>
      </c>
      <c r="H211" s="2">
        <f>IF(C211&lt;1,0,_XLL.RISKBINOMIAL(ROUND(C211,0),I211))</f>
        <v>0</v>
      </c>
      <c r="I211" s="8">
        <f t="shared" si="52"/>
        <v>5.569062148913506E-05</v>
      </c>
      <c r="J211" s="2">
        <f t="shared" si="45"/>
        <v>1220.7418090519864</v>
      </c>
      <c r="K211" s="2">
        <f t="shared" si="46"/>
        <v>3.2581909480136027</v>
      </c>
      <c r="L211" s="10">
        <f>_XLL.RISKOUTPUT(,"Contaminated food contact surfaces during a shift",208)+K211/(J211+K211)</f>
        <v>0.00266192070916144</v>
      </c>
      <c r="M211" s="2">
        <f>IF(J211&lt;1,0,_XLL.RISKBINOMIAL(ROUND(J211,0),N211))</f>
        <v>0</v>
      </c>
      <c r="N211" s="11">
        <f t="shared" si="53"/>
        <v>1.3308466217609727E-05</v>
      </c>
      <c r="O211" s="2">
        <f t="shared" si="54"/>
        <v>68</v>
      </c>
      <c r="P211" s="2">
        <f t="shared" si="55"/>
        <v>0</v>
      </c>
      <c r="Q211" s="10">
        <f>_XLL.RISKOUTPUT(,"Contaminated gloves during a shift",208)+P211/(O211+P211)</f>
        <v>0</v>
      </c>
      <c r="R211" s="2">
        <f>IF(O211&lt;1,0,_XLL.RISKBINOMIAL(ROUND(O211,0),S211))</f>
        <v>0</v>
      </c>
      <c r="S211" s="11">
        <f t="shared" si="47"/>
        <v>0.0002337817386286467</v>
      </c>
      <c r="U211" s="2">
        <f t="shared" si="42"/>
        <v>102</v>
      </c>
      <c r="V211" s="2">
        <f t="shared" si="43"/>
        <v>1224</v>
      </c>
      <c r="W211" s="2">
        <f t="shared" si="44"/>
        <v>68</v>
      </c>
    </row>
    <row r="212" spans="1:23" ht="12.75">
      <c r="A212">
        <v>1</v>
      </c>
      <c r="B212">
        <v>208</v>
      </c>
      <c r="C212" s="2">
        <f t="shared" si="48"/>
        <v>100.61538461538461</v>
      </c>
      <c r="D212" s="2">
        <f t="shared" si="49"/>
        <v>1.3846153846153846</v>
      </c>
      <c r="E212" s="2">
        <f t="shared" si="50"/>
        <v>10.061538461538461</v>
      </c>
      <c r="F212" s="2">
        <f t="shared" si="51"/>
        <v>0.13846153846153847</v>
      </c>
      <c r="G212" s="9">
        <f>_XLL.RISKOUTPUT(,"Contaminated food products during a shift",209)+D212/(C212+D212)</f>
        <v>0.013574660633484163</v>
      </c>
      <c r="H212" s="2">
        <f>IF(C212&lt;1,0,_XLL.RISKBINOMIAL(ROUND(C212,0),I212))</f>
        <v>0</v>
      </c>
      <c r="I212" s="8">
        <f t="shared" si="52"/>
        <v>5.569062148913506E-05</v>
      </c>
      <c r="J212" s="2">
        <f t="shared" si="45"/>
        <v>1220.7418090519864</v>
      </c>
      <c r="K212" s="2">
        <f t="shared" si="46"/>
        <v>3.2581909480136027</v>
      </c>
      <c r="L212" s="10">
        <f>_XLL.RISKOUTPUT(,"Contaminated food contact surfaces during a shift",209)+K212/(J212+K212)</f>
        <v>0.00266192070916144</v>
      </c>
      <c r="M212" s="2">
        <f>IF(J212&lt;1,0,_XLL.RISKBINOMIAL(ROUND(J212,0),N212))</f>
        <v>0</v>
      </c>
      <c r="N212" s="11">
        <f t="shared" si="53"/>
        <v>1.3308466217609727E-05</v>
      </c>
      <c r="O212" s="2">
        <f t="shared" si="54"/>
        <v>68</v>
      </c>
      <c r="P212" s="2">
        <f t="shared" si="55"/>
        <v>0</v>
      </c>
      <c r="Q212" s="10">
        <f>_XLL.RISKOUTPUT(,"Contaminated gloves during a shift",209)+P212/(O212+P212)</f>
        <v>0</v>
      </c>
      <c r="R212" s="2">
        <f>IF(O212&lt;1,0,_XLL.RISKBINOMIAL(ROUND(O212,0),S212))</f>
        <v>0</v>
      </c>
      <c r="S212" s="11">
        <f t="shared" si="47"/>
        <v>0.0002337817386286467</v>
      </c>
      <c r="U212" s="2">
        <f t="shared" si="42"/>
        <v>102</v>
      </c>
      <c r="V212" s="2">
        <f t="shared" si="43"/>
        <v>1224</v>
      </c>
      <c r="W212" s="2">
        <f t="shared" si="44"/>
        <v>68</v>
      </c>
    </row>
    <row r="213" spans="1:23" ht="12.75">
      <c r="A213">
        <v>1</v>
      </c>
      <c r="B213">
        <v>209</v>
      </c>
      <c r="C213" s="2">
        <f t="shared" si="48"/>
        <v>100.61538461538461</v>
      </c>
      <c r="D213" s="2">
        <f t="shared" si="49"/>
        <v>1.3846153846153846</v>
      </c>
      <c r="E213" s="2">
        <f t="shared" si="50"/>
        <v>10.061538461538461</v>
      </c>
      <c r="F213" s="2">
        <f t="shared" si="51"/>
        <v>0.13846153846153847</v>
      </c>
      <c r="G213" s="9">
        <f>_XLL.RISKOUTPUT(,"Contaminated food products during a shift",210)+D213/(C213+D213)</f>
        <v>0.013574660633484163</v>
      </c>
      <c r="H213" s="2">
        <f>IF(C213&lt;1,0,_XLL.RISKBINOMIAL(ROUND(C213,0),I213))</f>
        <v>0</v>
      </c>
      <c r="I213" s="8">
        <f t="shared" si="52"/>
        <v>5.569062148913506E-05</v>
      </c>
      <c r="J213" s="2">
        <f t="shared" si="45"/>
        <v>1220.7418090519864</v>
      </c>
      <c r="K213" s="2">
        <f t="shared" si="46"/>
        <v>3.2581909480136027</v>
      </c>
      <c r="L213" s="10">
        <f>_XLL.RISKOUTPUT(,"Contaminated food contact surfaces during a shift",210)+K213/(J213+K213)</f>
        <v>0.00266192070916144</v>
      </c>
      <c r="M213" s="2">
        <f>IF(J213&lt;1,0,_XLL.RISKBINOMIAL(ROUND(J213,0),N213))</f>
        <v>0</v>
      </c>
      <c r="N213" s="11">
        <f t="shared" si="53"/>
        <v>1.3308466217609727E-05</v>
      </c>
      <c r="O213" s="2">
        <f t="shared" si="54"/>
        <v>68</v>
      </c>
      <c r="P213" s="2">
        <f t="shared" si="55"/>
        <v>0</v>
      </c>
      <c r="Q213" s="10">
        <f>_XLL.RISKOUTPUT(,"Contaminated gloves during a shift",210)+P213/(O213+P213)</f>
        <v>0</v>
      </c>
      <c r="R213" s="2">
        <f>IF(O213&lt;1,0,_XLL.RISKBINOMIAL(ROUND(O213,0),S213))</f>
        <v>0</v>
      </c>
      <c r="S213" s="11">
        <f t="shared" si="47"/>
        <v>0.0002337817386286467</v>
      </c>
      <c r="U213" s="2">
        <f t="shared" si="42"/>
        <v>102</v>
      </c>
      <c r="V213" s="2">
        <f t="shared" si="43"/>
        <v>1224</v>
      </c>
      <c r="W213" s="2">
        <f t="shared" si="44"/>
        <v>68</v>
      </c>
    </row>
    <row r="214" spans="1:23" ht="12.75">
      <c r="A214">
        <v>1</v>
      </c>
      <c r="B214">
        <v>210</v>
      </c>
      <c r="C214" s="2">
        <f t="shared" si="48"/>
        <v>100.61538461538461</v>
      </c>
      <c r="D214" s="2">
        <f t="shared" si="49"/>
        <v>1.3846153846153846</v>
      </c>
      <c r="E214" s="2">
        <f t="shared" si="50"/>
        <v>10.061538461538461</v>
      </c>
      <c r="F214" s="2">
        <f t="shared" si="51"/>
        <v>0.13846153846153847</v>
      </c>
      <c r="G214" s="9">
        <f>_XLL.RISKOUTPUT(,"Contaminated food products during a shift",211)+D214/(C214+D214)</f>
        <v>0.013574660633484163</v>
      </c>
      <c r="H214" s="2">
        <f>IF(C214&lt;1,0,_XLL.RISKBINOMIAL(ROUND(C214,0),I214))</f>
        <v>0</v>
      </c>
      <c r="I214" s="8">
        <f t="shared" si="52"/>
        <v>5.569062148913506E-05</v>
      </c>
      <c r="J214" s="2">
        <f t="shared" si="45"/>
        <v>1220.7418090519864</v>
      </c>
      <c r="K214" s="2">
        <f t="shared" si="46"/>
        <v>3.2581909480136027</v>
      </c>
      <c r="L214" s="10">
        <f>_XLL.RISKOUTPUT(,"Contaminated food contact surfaces during a shift",211)+K214/(J214+K214)</f>
        <v>0.00266192070916144</v>
      </c>
      <c r="M214" s="2">
        <f>IF(J214&lt;1,0,_XLL.RISKBINOMIAL(ROUND(J214,0),N214))</f>
        <v>0</v>
      </c>
      <c r="N214" s="11">
        <f t="shared" si="53"/>
        <v>1.3308466217609727E-05</v>
      </c>
      <c r="O214" s="2">
        <f t="shared" si="54"/>
        <v>68</v>
      </c>
      <c r="P214" s="2">
        <f t="shared" si="55"/>
        <v>0</v>
      </c>
      <c r="Q214" s="10">
        <f>_XLL.RISKOUTPUT(,"Contaminated gloves during a shift",211)+P214/(O214+P214)</f>
        <v>0</v>
      </c>
      <c r="R214" s="2">
        <f>IF(O214&lt;1,0,_XLL.RISKBINOMIAL(ROUND(O214,0),S214))</f>
        <v>0</v>
      </c>
      <c r="S214" s="11">
        <f t="shared" si="47"/>
        <v>0.0002337817386286467</v>
      </c>
      <c r="U214" s="2">
        <f t="shared" si="42"/>
        <v>102</v>
      </c>
      <c r="V214" s="2">
        <f t="shared" si="43"/>
        <v>1224</v>
      </c>
      <c r="W214" s="2">
        <f t="shared" si="44"/>
        <v>68</v>
      </c>
    </row>
    <row r="215" spans="1:23" ht="12.75">
      <c r="A215">
        <v>1</v>
      </c>
      <c r="B215">
        <v>211</v>
      </c>
      <c r="C215" s="2">
        <f t="shared" si="48"/>
        <v>100.61538461538461</v>
      </c>
      <c r="D215" s="2">
        <f t="shared" si="49"/>
        <v>1.3846153846153846</v>
      </c>
      <c r="E215" s="2">
        <f t="shared" si="50"/>
        <v>10.061538461538461</v>
      </c>
      <c r="F215" s="2">
        <f t="shared" si="51"/>
        <v>0.13846153846153847</v>
      </c>
      <c r="G215" s="9">
        <f>_XLL.RISKOUTPUT(,"Contaminated food products during a shift",212)+D215/(C215+D215)</f>
        <v>0.013574660633484163</v>
      </c>
      <c r="H215" s="2">
        <f>IF(C215&lt;1,0,_XLL.RISKBINOMIAL(ROUND(C215,0),I215))</f>
        <v>0</v>
      </c>
      <c r="I215" s="8">
        <f t="shared" si="52"/>
        <v>5.569062148913506E-05</v>
      </c>
      <c r="J215" s="2">
        <f t="shared" si="45"/>
        <v>1220.7418090519864</v>
      </c>
      <c r="K215" s="2">
        <f t="shared" si="46"/>
        <v>3.2581909480136027</v>
      </c>
      <c r="L215" s="10">
        <f>_XLL.RISKOUTPUT(,"Contaminated food contact surfaces during a shift",212)+K215/(J215+K215)</f>
        <v>0.00266192070916144</v>
      </c>
      <c r="M215" s="2">
        <f>IF(J215&lt;1,0,_XLL.RISKBINOMIAL(ROUND(J215,0),N215))</f>
        <v>0</v>
      </c>
      <c r="N215" s="11">
        <f t="shared" si="53"/>
        <v>1.3308466217609727E-05</v>
      </c>
      <c r="O215" s="2">
        <f t="shared" si="54"/>
        <v>68</v>
      </c>
      <c r="P215" s="2">
        <f t="shared" si="55"/>
        <v>0</v>
      </c>
      <c r="Q215" s="10">
        <f>_XLL.RISKOUTPUT(,"Contaminated gloves during a shift",212)+P215/(O215+P215)</f>
        <v>0</v>
      </c>
      <c r="R215" s="2">
        <f>IF(O215&lt;1,0,_XLL.RISKBINOMIAL(ROUND(O215,0),S215))</f>
        <v>0</v>
      </c>
      <c r="S215" s="11">
        <f t="shared" si="47"/>
        <v>0.0002337817386286467</v>
      </c>
      <c r="U215" s="2">
        <f t="shared" si="42"/>
        <v>102</v>
      </c>
      <c r="V215" s="2">
        <f t="shared" si="43"/>
        <v>1224</v>
      </c>
      <c r="W215" s="2">
        <f t="shared" si="44"/>
        <v>68</v>
      </c>
    </row>
    <row r="216" spans="1:23" ht="12.75">
      <c r="A216">
        <v>1</v>
      </c>
      <c r="B216">
        <v>212</v>
      </c>
      <c r="C216" s="2">
        <f t="shared" si="48"/>
        <v>100.61538461538461</v>
      </c>
      <c r="D216" s="2">
        <f t="shared" si="49"/>
        <v>1.3846153846153846</v>
      </c>
      <c r="E216" s="2">
        <f t="shared" si="50"/>
        <v>10.061538461538461</v>
      </c>
      <c r="F216" s="2">
        <f t="shared" si="51"/>
        <v>0.13846153846153847</v>
      </c>
      <c r="G216" s="9">
        <f>_XLL.RISKOUTPUT(,"Contaminated food products during a shift",213)+D216/(C216+D216)</f>
        <v>0.013574660633484163</v>
      </c>
      <c r="H216" s="2">
        <f>IF(C216&lt;1,0,_XLL.RISKBINOMIAL(ROUND(C216,0),I216))</f>
        <v>0</v>
      </c>
      <c r="I216" s="8">
        <f t="shared" si="52"/>
        <v>5.569062148913506E-05</v>
      </c>
      <c r="J216" s="2">
        <f t="shared" si="45"/>
        <v>1220.7418090519864</v>
      </c>
      <c r="K216" s="2">
        <f t="shared" si="46"/>
        <v>3.2581909480136027</v>
      </c>
      <c r="L216" s="10">
        <f>_XLL.RISKOUTPUT(,"Contaminated food contact surfaces during a shift",213)+K216/(J216+K216)</f>
        <v>0.00266192070916144</v>
      </c>
      <c r="M216" s="2">
        <f>IF(J216&lt;1,0,_XLL.RISKBINOMIAL(ROUND(J216,0),N216))</f>
        <v>0</v>
      </c>
      <c r="N216" s="11">
        <f t="shared" si="53"/>
        <v>1.3308466217609727E-05</v>
      </c>
      <c r="O216" s="2">
        <f t="shared" si="54"/>
        <v>68</v>
      </c>
      <c r="P216" s="2">
        <f t="shared" si="55"/>
        <v>0</v>
      </c>
      <c r="Q216" s="10">
        <f>_XLL.RISKOUTPUT(,"Contaminated gloves during a shift",213)+P216/(O216+P216)</f>
        <v>0</v>
      </c>
      <c r="R216" s="2">
        <f>IF(O216&lt;1,0,_XLL.RISKBINOMIAL(ROUND(O216,0),S216))</f>
        <v>0</v>
      </c>
      <c r="S216" s="11">
        <f t="shared" si="47"/>
        <v>0.0002337817386286467</v>
      </c>
      <c r="U216" s="2">
        <f t="shared" si="42"/>
        <v>102</v>
      </c>
      <c r="V216" s="2">
        <f t="shared" si="43"/>
        <v>1224</v>
      </c>
      <c r="W216" s="2">
        <f t="shared" si="44"/>
        <v>68</v>
      </c>
    </row>
    <row r="217" spans="1:23" ht="12.75">
      <c r="A217">
        <v>1</v>
      </c>
      <c r="B217">
        <v>213</v>
      </c>
      <c r="C217" s="2">
        <f t="shared" si="48"/>
        <v>100.61538461538461</v>
      </c>
      <c r="D217" s="2">
        <f t="shared" si="49"/>
        <v>1.3846153846153846</v>
      </c>
      <c r="E217" s="2">
        <f t="shared" si="50"/>
        <v>10.061538461538461</v>
      </c>
      <c r="F217" s="2">
        <f t="shared" si="51"/>
        <v>0.13846153846153847</v>
      </c>
      <c r="G217" s="9">
        <f>_XLL.RISKOUTPUT(,"Contaminated food products during a shift",214)+D217/(C217+D217)</f>
        <v>0.013574660633484163</v>
      </c>
      <c r="H217" s="2">
        <f>IF(C217&lt;1,0,_XLL.RISKBINOMIAL(ROUND(C217,0),I217))</f>
        <v>0</v>
      </c>
      <c r="I217" s="8">
        <f t="shared" si="52"/>
        <v>5.569062148913506E-05</v>
      </c>
      <c r="J217" s="2">
        <f t="shared" si="45"/>
        <v>1220.7418090519864</v>
      </c>
      <c r="K217" s="2">
        <f t="shared" si="46"/>
        <v>3.2581909480136027</v>
      </c>
      <c r="L217" s="10">
        <f>_XLL.RISKOUTPUT(,"Contaminated food contact surfaces during a shift",214)+K217/(J217+K217)</f>
        <v>0.00266192070916144</v>
      </c>
      <c r="M217" s="2">
        <f>IF(J217&lt;1,0,_XLL.RISKBINOMIAL(ROUND(J217,0),N217))</f>
        <v>0</v>
      </c>
      <c r="N217" s="11">
        <f t="shared" si="53"/>
        <v>1.3308466217609727E-05</v>
      </c>
      <c r="O217" s="2">
        <f t="shared" si="54"/>
        <v>68</v>
      </c>
      <c r="P217" s="2">
        <f t="shared" si="55"/>
        <v>0</v>
      </c>
      <c r="Q217" s="10">
        <f>_XLL.RISKOUTPUT(,"Contaminated gloves during a shift",214)+P217/(O217+P217)</f>
        <v>0</v>
      </c>
      <c r="R217" s="2">
        <f>IF(O217&lt;1,0,_XLL.RISKBINOMIAL(ROUND(O217,0),S217))</f>
        <v>0</v>
      </c>
      <c r="S217" s="11">
        <f t="shared" si="47"/>
        <v>0.0002337817386286467</v>
      </c>
      <c r="U217" s="2">
        <f t="shared" si="42"/>
        <v>102</v>
      </c>
      <c r="V217" s="2">
        <f t="shared" si="43"/>
        <v>1224</v>
      </c>
      <c r="W217" s="2">
        <f t="shared" si="44"/>
        <v>68</v>
      </c>
    </row>
    <row r="218" spans="1:23" ht="12.75">
      <c r="A218">
        <v>1</v>
      </c>
      <c r="B218">
        <v>214</v>
      </c>
      <c r="C218" s="2">
        <f t="shared" si="48"/>
        <v>100.61538461538461</v>
      </c>
      <c r="D218" s="2">
        <f t="shared" si="49"/>
        <v>1.3846153846153846</v>
      </c>
      <c r="E218" s="2">
        <f t="shared" si="50"/>
        <v>10.061538461538461</v>
      </c>
      <c r="F218" s="2">
        <f t="shared" si="51"/>
        <v>0.13846153846153847</v>
      </c>
      <c r="G218" s="9">
        <f>_XLL.RISKOUTPUT(,"Contaminated food products during a shift",215)+D218/(C218+D218)</f>
        <v>0.013574660633484163</v>
      </c>
      <c r="H218" s="2">
        <f>IF(C218&lt;1,0,_XLL.RISKBINOMIAL(ROUND(C218,0),I218))</f>
        <v>0</v>
      </c>
      <c r="I218" s="8">
        <f t="shared" si="52"/>
        <v>5.569062148913506E-05</v>
      </c>
      <c r="J218" s="2">
        <f t="shared" si="45"/>
        <v>1220.7418090519864</v>
      </c>
      <c r="K218" s="2">
        <f t="shared" si="46"/>
        <v>3.2581909480136027</v>
      </c>
      <c r="L218" s="10">
        <f>_XLL.RISKOUTPUT(,"Contaminated food contact surfaces during a shift",215)+K218/(J218+K218)</f>
        <v>0.00266192070916144</v>
      </c>
      <c r="M218" s="2">
        <f>IF(J218&lt;1,0,_XLL.RISKBINOMIAL(ROUND(J218,0),N218))</f>
        <v>0</v>
      </c>
      <c r="N218" s="11">
        <f t="shared" si="53"/>
        <v>1.3308466217609727E-05</v>
      </c>
      <c r="O218" s="2">
        <f t="shared" si="54"/>
        <v>68</v>
      </c>
      <c r="P218" s="2">
        <f t="shared" si="55"/>
        <v>0</v>
      </c>
      <c r="Q218" s="10">
        <f>_XLL.RISKOUTPUT(,"Contaminated gloves during a shift",215)+P218/(O218+P218)</f>
        <v>0</v>
      </c>
      <c r="R218" s="2">
        <f>IF(O218&lt;1,0,_XLL.RISKBINOMIAL(ROUND(O218,0),S218))</f>
        <v>0</v>
      </c>
      <c r="S218" s="11">
        <f t="shared" si="47"/>
        <v>0.0002337817386286467</v>
      </c>
      <c r="U218" s="2">
        <f t="shared" si="42"/>
        <v>102</v>
      </c>
      <c r="V218" s="2">
        <f t="shared" si="43"/>
        <v>1224</v>
      </c>
      <c r="W218" s="2">
        <f t="shared" si="44"/>
        <v>68</v>
      </c>
    </row>
    <row r="219" spans="1:23" ht="12.75">
      <c r="A219">
        <v>1</v>
      </c>
      <c r="B219">
        <v>215</v>
      </c>
      <c r="C219" s="2">
        <f t="shared" si="48"/>
        <v>100.61538461538461</v>
      </c>
      <c r="D219" s="2">
        <f t="shared" si="49"/>
        <v>1.3846153846153846</v>
      </c>
      <c r="E219" s="2">
        <f t="shared" si="50"/>
        <v>10.061538461538461</v>
      </c>
      <c r="F219" s="2">
        <f t="shared" si="51"/>
        <v>0.13846153846153847</v>
      </c>
      <c r="G219" s="9">
        <f>_XLL.RISKOUTPUT(,"Contaminated food products during a shift",216)+D219/(C219+D219)</f>
        <v>0.013574660633484163</v>
      </c>
      <c r="H219" s="2">
        <f>IF(C219&lt;1,0,_XLL.RISKBINOMIAL(ROUND(C219,0),I219))</f>
        <v>0</v>
      </c>
      <c r="I219" s="8">
        <f t="shared" si="52"/>
        <v>5.569062148913506E-05</v>
      </c>
      <c r="J219" s="2">
        <f t="shared" si="45"/>
        <v>1220.7418090519864</v>
      </c>
      <c r="K219" s="2">
        <f t="shared" si="46"/>
        <v>3.2581909480136027</v>
      </c>
      <c r="L219" s="10">
        <f>_XLL.RISKOUTPUT(,"Contaminated food contact surfaces during a shift",216)+K219/(J219+K219)</f>
        <v>0.00266192070916144</v>
      </c>
      <c r="M219" s="2">
        <f>IF(J219&lt;1,0,_XLL.RISKBINOMIAL(ROUND(J219,0),N219))</f>
        <v>0</v>
      </c>
      <c r="N219" s="11">
        <f t="shared" si="53"/>
        <v>1.3308466217609727E-05</v>
      </c>
      <c r="O219" s="2">
        <f t="shared" si="54"/>
        <v>68</v>
      </c>
      <c r="P219" s="2">
        <f t="shared" si="55"/>
        <v>0</v>
      </c>
      <c r="Q219" s="10">
        <f>_XLL.RISKOUTPUT(,"Contaminated gloves during a shift",216)+P219/(O219+P219)</f>
        <v>0</v>
      </c>
      <c r="R219" s="2">
        <f>IF(O219&lt;1,0,_XLL.RISKBINOMIAL(ROUND(O219,0),S219))</f>
        <v>0</v>
      </c>
      <c r="S219" s="11">
        <f t="shared" si="47"/>
        <v>0.0002337817386286467</v>
      </c>
      <c r="U219" s="2">
        <f t="shared" si="42"/>
        <v>102</v>
      </c>
      <c r="V219" s="2">
        <f t="shared" si="43"/>
        <v>1224</v>
      </c>
      <c r="W219" s="2">
        <f t="shared" si="44"/>
        <v>68</v>
      </c>
    </row>
    <row r="220" spans="1:23" ht="12.75">
      <c r="A220">
        <v>1</v>
      </c>
      <c r="B220">
        <v>216</v>
      </c>
      <c r="C220" s="2">
        <f t="shared" si="48"/>
        <v>100.61538461538461</v>
      </c>
      <c r="D220" s="2">
        <f t="shared" si="49"/>
        <v>1.3846153846153846</v>
      </c>
      <c r="E220" s="2">
        <f t="shared" si="50"/>
        <v>10.061538461538461</v>
      </c>
      <c r="F220" s="2">
        <f t="shared" si="51"/>
        <v>0.13846153846153847</v>
      </c>
      <c r="G220" s="9">
        <f>_XLL.RISKOUTPUT(,"Contaminated food products during a shift",217)+D220/(C220+D220)</f>
        <v>0.013574660633484163</v>
      </c>
      <c r="H220" s="2">
        <f>IF(C220&lt;1,0,_XLL.RISKBINOMIAL(ROUND(C220,0),I220))</f>
        <v>0</v>
      </c>
      <c r="I220" s="8">
        <f t="shared" si="52"/>
        <v>5.569062148913506E-05</v>
      </c>
      <c r="J220" s="2">
        <f t="shared" si="45"/>
        <v>1220.7418090519864</v>
      </c>
      <c r="K220" s="2">
        <f t="shared" si="46"/>
        <v>3.2581909480136027</v>
      </c>
      <c r="L220" s="10">
        <f>_XLL.RISKOUTPUT(,"Contaminated food contact surfaces during a shift",217)+K220/(J220+K220)</f>
        <v>0.00266192070916144</v>
      </c>
      <c r="M220" s="2">
        <f>IF(J220&lt;1,0,_XLL.RISKBINOMIAL(ROUND(J220,0),N220))</f>
        <v>0</v>
      </c>
      <c r="N220" s="11">
        <f t="shared" si="53"/>
        <v>1.3308466217609727E-05</v>
      </c>
      <c r="O220" s="2">
        <f t="shared" si="54"/>
        <v>68</v>
      </c>
      <c r="P220" s="2">
        <f t="shared" si="55"/>
        <v>0</v>
      </c>
      <c r="Q220" s="10">
        <f>_XLL.RISKOUTPUT(,"Contaminated gloves during a shift",217)+P220/(O220+P220)</f>
        <v>0</v>
      </c>
      <c r="R220" s="2">
        <f>IF(O220&lt;1,0,_XLL.RISKBINOMIAL(ROUND(O220,0),S220))</f>
        <v>0</v>
      </c>
      <c r="S220" s="11">
        <f t="shared" si="47"/>
        <v>0.0002337817386286467</v>
      </c>
      <c r="U220" s="2">
        <f t="shared" si="42"/>
        <v>102</v>
      </c>
      <c r="V220" s="2">
        <f t="shared" si="43"/>
        <v>1224</v>
      </c>
      <c r="W220" s="2">
        <f t="shared" si="44"/>
        <v>68</v>
      </c>
    </row>
    <row r="221" spans="1:23" ht="12.75">
      <c r="A221">
        <v>1</v>
      </c>
      <c r="B221">
        <v>217</v>
      </c>
      <c r="C221" s="2">
        <f t="shared" si="48"/>
        <v>100.61538461538461</v>
      </c>
      <c r="D221" s="2">
        <f t="shared" si="49"/>
        <v>1.3846153846153846</v>
      </c>
      <c r="E221" s="2">
        <f t="shared" si="50"/>
        <v>10.061538461538461</v>
      </c>
      <c r="F221" s="2">
        <f t="shared" si="51"/>
        <v>0.13846153846153847</v>
      </c>
      <c r="G221" s="9">
        <f>_XLL.RISKOUTPUT(,"Contaminated food products during a shift",218)+D221/(C221+D221)</f>
        <v>0.013574660633484163</v>
      </c>
      <c r="H221" s="2">
        <f>IF(C221&lt;1,0,_XLL.RISKBINOMIAL(ROUND(C221,0),I221))</f>
        <v>0</v>
      </c>
      <c r="I221" s="8">
        <f t="shared" si="52"/>
        <v>5.569062148913506E-05</v>
      </c>
      <c r="J221" s="2">
        <f t="shared" si="45"/>
        <v>1220.7418090519864</v>
      </c>
      <c r="K221" s="2">
        <f t="shared" si="46"/>
        <v>3.2581909480136027</v>
      </c>
      <c r="L221" s="10">
        <f>_XLL.RISKOUTPUT(,"Contaminated food contact surfaces during a shift",218)+K221/(J221+K221)</f>
        <v>0.00266192070916144</v>
      </c>
      <c r="M221" s="2">
        <f>IF(J221&lt;1,0,_XLL.RISKBINOMIAL(ROUND(J221,0),N221))</f>
        <v>0</v>
      </c>
      <c r="N221" s="11">
        <f t="shared" si="53"/>
        <v>1.3308466217609727E-05</v>
      </c>
      <c r="O221" s="2">
        <f t="shared" si="54"/>
        <v>68</v>
      </c>
      <c r="P221" s="2">
        <f t="shared" si="55"/>
        <v>0</v>
      </c>
      <c r="Q221" s="10">
        <f>_XLL.RISKOUTPUT(,"Contaminated gloves during a shift",218)+P221/(O221+P221)</f>
        <v>0</v>
      </c>
      <c r="R221" s="2">
        <f>IF(O221&lt;1,0,_XLL.RISKBINOMIAL(ROUND(O221,0),S221))</f>
        <v>0</v>
      </c>
      <c r="S221" s="11">
        <f t="shared" si="47"/>
        <v>0.0002337817386286467</v>
      </c>
      <c r="U221" s="2">
        <f t="shared" si="42"/>
        <v>102</v>
      </c>
      <c r="V221" s="2">
        <f t="shared" si="43"/>
        <v>1224</v>
      </c>
      <c r="W221" s="2">
        <f t="shared" si="44"/>
        <v>68</v>
      </c>
    </row>
    <row r="222" spans="1:23" ht="12.75">
      <c r="A222">
        <v>1</v>
      </c>
      <c r="B222">
        <v>218</v>
      </c>
      <c r="C222" s="2">
        <f t="shared" si="48"/>
        <v>100.61538461538461</v>
      </c>
      <c r="D222" s="2">
        <f t="shared" si="49"/>
        <v>1.3846153846153846</v>
      </c>
      <c r="E222" s="2">
        <f t="shared" si="50"/>
        <v>10.061538461538461</v>
      </c>
      <c r="F222" s="2">
        <f t="shared" si="51"/>
        <v>0.13846153846153847</v>
      </c>
      <c r="G222" s="9">
        <f>_XLL.RISKOUTPUT(,"Contaminated food products during a shift",219)+D222/(C222+D222)</f>
        <v>0.013574660633484163</v>
      </c>
      <c r="H222" s="2">
        <f>IF(C222&lt;1,0,_XLL.RISKBINOMIAL(ROUND(C222,0),I222))</f>
        <v>0</v>
      </c>
      <c r="I222" s="8">
        <f t="shared" si="52"/>
        <v>5.569062148913506E-05</v>
      </c>
      <c r="J222" s="2">
        <f t="shared" si="45"/>
        <v>1220.7418090519864</v>
      </c>
      <c r="K222" s="2">
        <f t="shared" si="46"/>
        <v>3.2581909480136027</v>
      </c>
      <c r="L222" s="10">
        <f>_XLL.RISKOUTPUT(,"Contaminated food contact surfaces during a shift",219)+K222/(J222+K222)</f>
        <v>0.00266192070916144</v>
      </c>
      <c r="M222" s="2">
        <f>IF(J222&lt;1,0,_XLL.RISKBINOMIAL(ROUND(J222,0),N222))</f>
        <v>0</v>
      </c>
      <c r="N222" s="11">
        <f t="shared" si="53"/>
        <v>1.3308466217609727E-05</v>
      </c>
      <c r="O222" s="2">
        <f t="shared" si="54"/>
        <v>68</v>
      </c>
      <c r="P222" s="2">
        <f t="shared" si="55"/>
        <v>0</v>
      </c>
      <c r="Q222" s="10">
        <f>_XLL.RISKOUTPUT(,"Contaminated gloves during a shift",219)+P222/(O222+P222)</f>
        <v>0</v>
      </c>
      <c r="R222" s="2">
        <f>IF(O222&lt;1,0,_XLL.RISKBINOMIAL(ROUND(O222,0),S222))</f>
        <v>0</v>
      </c>
      <c r="S222" s="11">
        <f t="shared" si="47"/>
        <v>0.0002337817386286467</v>
      </c>
      <c r="U222" s="2">
        <f t="shared" si="42"/>
        <v>102</v>
      </c>
      <c r="V222" s="2">
        <f t="shared" si="43"/>
        <v>1224</v>
      </c>
      <c r="W222" s="2">
        <f t="shared" si="44"/>
        <v>68</v>
      </c>
    </row>
    <row r="223" spans="1:23" ht="12.75">
      <c r="A223">
        <v>1</v>
      </c>
      <c r="B223">
        <v>219</v>
      </c>
      <c r="C223" s="2">
        <f t="shared" si="48"/>
        <v>100.61538461538461</v>
      </c>
      <c r="D223" s="2">
        <f t="shared" si="49"/>
        <v>1.3846153846153846</v>
      </c>
      <c r="E223" s="2">
        <f t="shared" si="50"/>
        <v>10.061538461538461</v>
      </c>
      <c r="F223" s="2">
        <f t="shared" si="51"/>
        <v>0.13846153846153847</v>
      </c>
      <c r="G223" s="9">
        <f>_XLL.RISKOUTPUT(,"Contaminated food products during a shift",220)+D223/(C223+D223)</f>
        <v>0.013574660633484163</v>
      </c>
      <c r="H223" s="2">
        <f>IF(C223&lt;1,0,_XLL.RISKBINOMIAL(ROUND(C223,0),I223))</f>
        <v>0</v>
      </c>
      <c r="I223" s="8">
        <f t="shared" si="52"/>
        <v>5.569062148913506E-05</v>
      </c>
      <c r="J223" s="2">
        <f t="shared" si="45"/>
        <v>1220.7418090519864</v>
      </c>
      <c r="K223" s="2">
        <f t="shared" si="46"/>
        <v>3.2581909480136027</v>
      </c>
      <c r="L223" s="10">
        <f>_XLL.RISKOUTPUT(,"Contaminated food contact surfaces during a shift",220)+K223/(J223+K223)</f>
        <v>0.00266192070916144</v>
      </c>
      <c r="M223" s="2">
        <f>IF(J223&lt;1,0,_XLL.RISKBINOMIAL(ROUND(J223,0),N223))</f>
        <v>0</v>
      </c>
      <c r="N223" s="11">
        <f t="shared" si="53"/>
        <v>1.3308466217609727E-05</v>
      </c>
      <c r="O223" s="2">
        <f t="shared" si="54"/>
        <v>68</v>
      </c>
      <c r="P223" s="2">
        <f t="shared" si="55"/>
        <v>0</v>
      </c>
      <c r="Q223" s="10">
        <f>_XLL.RISKOUTPUT(,"Contaminated gloves during a shift",220)+P223/(O223+P223)</f>
        <v>0</v>
      </c>
      <c r="R223" s="2">
        <f>IF(O223&lt;1,0,_XLL.RISKBINOMIAL(ROUND(O223,0),S223))</f>
        <v>0</v>
      </c>
      <c r="S223" s="11">
        <f t="shared" si="47"/>
        <v>0.0002337817386286467</v>
      </c>
      <c r="U223" s="2">
        <f t="shared" si="42"/>
        <v>102</v>
      </c>
      <c r="V223" s="2">
        <f t="shared" si="43"/>
        <v>1224</v>
      </c>
      <c r="W223" s="2">
        <f t="shared" si="44"/>
        <v>68</v>
      </c>
    </row>
    <row r="224" spans="1:23" ht="12.75">
      <c r="A224">
        <v>1</v>
      </c>
      <c r="B224">
        <v>220</v>
      </c>
      <c r="C224" s="2">
        <f t="shared" si="48"/>
        <v>100.61538461538461</v>
      </c>
      <c r="D224" s="2">
        <f t="shared" si="49"/>
        <v>1.3846153846153846</v>
      </c>
      <c r="E224" s="2">
        <f t="shared" si="50"/>
        <v>10.061538461538461</v>
      </c>
      <c r="F224" s="2">
        <f t="shared" si="51"/>
        <v>0.13846153846153847</v>
      </c>
      <c r="G224" s="9">
        <f>_XLL.RISKOUTPUT(,"Contaminated food products during a shift",221)+D224/(C224+D224)</f>
        <v>0.013574660633484163</v>
      </c>
      <c r="H224" s="2">
        <f>IF(C224&lt;1,0,_XLL.RISKBINOMIAL(ROUND(C224,0),I224))</f>
        <v>0</v>
      </c>
      <c r="I224" s="8">
        <f t="shared" si="52"/>
        <v>5.569062148913506E-05</v>
      </c>
      <c r="J224" s="2">
        <f t="shared" si="45"/>
        <v>1220.7418090519864</v>
      </c>
      <c r="K224" s="2">
        <f t="shared" si="46"/>
        <v>3.2581909480136027</v>
      </c>
      <c r="L224" s="10">
        <f>_XLL.RISKOUTPUT(,"Contaminated food contact surfaces during a shift",221)+K224/(J224+K224)</f>
        <v>0.00266192070916144</v>
      </c>
      <c r="M224" s="2">
        <f>IF(J224&lt;1,0,_XLL.RISKBINOMIAL(ROUND(J224,0),N224))</f>
        <v>0</v>
      </c>
      <c r="N224" s="11">
        <f t="shared" si="53"/>
        <v>1.3308466217609727E-05</v>
      </c>
      <c r="O224" s="2">
        <f t="shared" si="54"/>
        <v>68</v>
      </c>
      <c r="P224" s="2">
        <f t="shared" si="55"/>
        <v>0</v>
      </c>
      <c r="Q224" s="10">
        <f>_XLL.RISKOUTPUT(,"Contaminated gloves during a shift",221)+P224/(O224+P224)</f>
        <v>0</v>
      </c>
      <c r="R224" s="2">
        <f>IF(O224&lt;1,0,_XLL.RISKBINOMIAL(ROUND(O224,0),S224))</f>
        <v>0</v>
      </c>
      <c r="S224" s="11">
        <f t="shared" si="47"/>
        <v>0.0002337817386286467</v>
      </c>
      <c r="U224" s="2">
        <f t="shared" si="42"/>
        <v>102</v>
      </c>
      <c r="V224" s="2">
        <f t="shared" si="43"/>
        <v>1224</v>
      </c>
      <c r="W224" s="2">
        <f t="shared" si="44"/>
        <v>68</v>
      </c>
    </row>
    <row r="225" spans="1:23" ht="12.75">
      <c r="A225">
        <v>1</v>
      </c>
      <c r="B225">
        <v>221</v>
      </c>
      <c r="C225" s="2">
        <f t="shared" si="48"/>
        <v>100.61538461538461</v>
      </c>
      <c r="D225" s="2">
        <f t="shared" si="49"/>
        <v>1.3846153846153846</v>
      </c>
      <c r="E225" s="2">
        <f t="shared" si="50"/>
        <v>10.061538461538461</v>
      </c>
      <c r="F225" s="2">
        <f t="shared" si="51"/>
        <v>0.13846153846153847</v>
      </c>
      <c r="G225" s="9">
        <f>_XLL.RISKOUTPUT(,"Contaminated food products during a shift",222)+D225/(C225+D225)</f>
        <v>0.013574660633484163</v>
      </c>
      <c r="H225" s="2">
        <f>IF(C225&lt;1,0,_XLL.RISKBINOMIAL(ROUND(C225,0),I225))</f>
        <v>0</v>
      </c>
      <c r="I225" s="8">
        <f t="shared" si="52"/>
        <v>5.569062148913506E-05</v>
      </c>
      <c r="J225" s="2">
        <f t="shared" si="45"/>
        <v>1220.7418090519864</v>
      </c>
      <c r="K225" s="2">
        <f t="shared" si="46"/>
        <v>3.2581909480136027</v>
      </c>
      <c r="L225" s="10">
        <f>_XLL.RISKOUTPUT(,"Contaminated food contact surfaces during a shift",222)+K225/(J225+K225)</f>
        <v>0.00266192070916144</v>
      </c>
      <c r="M225" s="2">
        <f>IF(J225&lt;1,0,_XLL.RISKBINOMIAL(ROUND(J225,0),N225))</f>
        <v>0</v>
      </c>
      <c r="N225" s="11">
        <f t="shared" si="53"/>
        <v>1.3308466217609727E-05</v>
      </c>
      <c r="O225" s="2">
        <f t="shared" si="54"/>
        <v>68</v>
      </c>
      <c r="P225" s="2">
        <f t="shared" si="55"/>
        <v>0</v>
      </c>
      <c r="Q225" s="10">
        <f>_XLL.RISKOUTPUT(,"Contaminated gloves during a shift",222)+P225/(O225+P225)</f>
        <v>0</v>
      </c>
      <c r="R225" s="2">
        <f>IF(O225&lt;1,0,_XLL.RISKBINOMIAL(ROUND(O225,0),S225))</f>
        <v>0</v>
      </c>
      <c r="S225" s="11">
        <f t="shared" si="47"/>
        <v>0.0002337817386286467</v>
      </c>
      <c r="U225" s="2">
        <f t="shared" si="42"/>
        <v>102</v>
      </c>
      <c r="V225" s="2">
        <f t="shared" si="43"/>
        <v>1224</v>
      </c>
      <c r="W225" s="2">
        <f t="shared" si="44"/>
        <v>68</v>
      </c>
    </row>
    <row r="226" spans="1:23" ht="12.75">
      <c r="A226">
        <v>1</v>
      </c>
      <c r="B226">
        <v>222</v>
      </c>
      <c r="C226" s="2">
        <f t="shared" si="48"/>
        <v>100.61538461538461</v>
      </c>
      <c r="D226" s="2">
        <f t="shared" si="49"/>
        <v>1.3846153846153846</v>
      </c>
      <c r="E226" s="2">
        <f t="shared" si="50"/>
        <v>10.061538461538461</v>
      </c>
      <c r="F226" s="2">
        <f t="shared" si="51"/>
        <v>0.13846153846153847</v>
      </c>
      <c r="G226" s="9">
        <f>_XLL.RISKOUTPUT(,"Contaminated food products during a shift",223)+D226/(C226+D226)</f>
        <v>0.013574660633484163</v>
      </c>
      <c r="H226" s="2">
        <f>IF(C226&lt;1,0,_XLL.RISKBINOMIAL(ROUND(C226,0),I226))</f>
        <v>0</v>
      </c>
      <c r="I226" s="8">
        <f t="shared" si="52"/>
        <v>5.569062148913506E-05</v>
      </c>
      <c r="J226" s="2">
        <f t="shared" si="45"/>
        <v>1220.7418090519864</v>
      </c>
      <c r="K226" s="2">
        <f t="shared" si="46"/>
        <v>3.2581909480136027</v>
      </c>
      <c r="L226" s="10">
        <f>_XLL.RISKOUTPUT(,"Contaminated food contact surfaces during a shift",223)+K226/(J226+K226)</f>
        <v>0.00266192070916144</v>
      </c>
      <c r="M226" s="2">
        <f>IF(J226&lt;1,0,_XLL.RISKBINOMIAL(ROUND(J226,0),N226))</f>
        <v>0</v>
      </c>
      <c r="N226" s="11">
        <f t="shared" si="53"/>
        <v>1.3308466217609727E-05</v>
      </c>
      <c r="O226" s="2">
        <f t="shared" si="54"/>
        <v>68</v>
      </c>
      <c r="P226" s="2">
        <f t="shared" si="55"/>
        <v>0</v>
      </c>
      <c r="Q226" s="10">
        <f>_XLL.RISKOUTPUT(,"Contaminated gloves during a shift",223)+P226/(O226+P226)</f>
        <v>0</v>
      </c>
      <c r="R226" s="2">
        <f>IF(O226&lt;1,0,_XLL.RISKBINOMIAL(ROUND(O226,0),S226))</f>
        <v>0</v>
      </c>
      <c r="S226" s="11">
        <f t="shared" si="47"/>
        <v>0.0002337817386286467</v>
      </c>
      <c r="U226" s="2">
        <f t="shared" si="42"/>
        <v>102</v>
      </c>
      <c r="V226" s="2">
        <f t="shared" si="43"/>
        <v>1224</v>
      </c>
      <c r="W226" s="2">
        <f t="shared" si="44"/>
        <v>68</v>
      </c>
    </row>
    <row r="227" spans="1:23" ht="12.75">
      <c r="A227">
        <v>1</v>
      </c>
      <c r="B227">
        <v>223</v>
      </c>
      <c r="C227" s="2">
        <f t="shared" si="48"/>
        <v>100.61538461538461</v>
      </c>
      <c r="D227" s="2">
        <f t="shared" si="49"/>
        <v>1.3846153846153846</v>
      </c>
      <c r="E227" s="2">
        <f t="shared" si="50"/>
        <v>10.061538461538461</v>
      </c>
      <c r="F227" s="2">
        <f t="shared" si="51"/>
        <v>0.13846153846153847</v>
      </c>
      <c r="G227" s="9">
        <f>_XLL.RISKOUTPUT(,"Contaminated food products during a shift",224)+D227/(C227+D227)</f>
        <v>0.013574660633484163</v>
      </c>
      <c r="H227" s="2">
        <f>IF(C227&lt;1,0,_XLL.RISKBINOMIAL(ROUND(C227,0),I227))</f>
        <v>0</v>
      </c>
      <c r="I227" s="8">
        <f t="shared" si="52"/>
        <v>5.569062148913506E-05</v>
      </c>
      <c r="J227" s="2">
        <f t="shared" si="45"/>
        <v>1220.7418090519864</v>
      </c>
      <c r="K227" s="2">
        <f t="shared" si="46"/>
        <v>3.2581909480136027</v>
      </c>
      <c r="L227" s="10">
        <f>_XLL.RISKOUTPUT(,"Contaminated food contact surfaces during a shift",224)+K227/(J227+K227)</f>
        <v>0.00266192070916144</v>
      </c>
      <c r="M227" s="2">
        <f>IF(J227&lt;1,0,_XLL.RISKBINOMIAL(ROUND(J227,0),N227))</f>
        <v>0</v>
      </c>
      <c r="N227" s="11">
        <f t="shared" si="53"/>
        <v>1.3308466217609727E-05</v>
      </c>
      <c r="O227" s="2">
        <f t="shared" si="54"/>
        <v>68</v>
      </c>
      <c r="P227" s="2">
        <f t="shared" si="55"/>
        <v>0</v>
      </c>
      <c r="Q227" s="10">
        <f>_XLL.RISKOUTPUT(,"Contaminated gloves during a shift",224)+P227/(O227+P227)</f>
        <v>0</v>
      </c>
      <c r="R227" s="2">
        <f>IF(O227&lt;1,0,_XLL.RISKBINOMIAL(ROUND(O227,0),S227))</f>
        <v>0</v>
      </c>
      <c r="S227" s="11">
        <f t="shared" si="47"/>
        <v>0.0002337817386286467</v>
      </c>
      <c r="U227" s="2">
        <f t="shared" si="42"/>
        <v>102</v>
      </c>
      <c r="V227" s="2">
        <f t="shared" si="43"/>
        <v>1224</v>
      </c>
      <c r="W227" s="2">
        <f t="shared" si="44"/>
        <v>68</v>
      </c>
    </row>
    <row r="228" spans="1:23" ht="12.75">
      <c r="A228">
        <v>1</v>
      </c>
      <c r="B228">
        <v>224</v>
      </c>
      <c r="C228" s="2">
        <f t="shared" si="48"/>
        <v>100.61538461538461</v>
      </c>
      <c r="D228" s="2">
        <f t="shared" si="49"/>
        <v>1.3846153846153846</v>
      </c>
      <c r="E228" s="2">
        <f t="shared" si="50"/>
        <v>10.061538461538461</v>
      </c>
      <c r="F228" s="2">
        <f t="shared" si="51"/>
        <v>0.13846153846153847</v>
      </c>
      <c r="G228" s="9">
        <f>_XLL.RISKOUTPUT(,"Contaminated food products during a shift",225)+D228/(C228+D228)</f>
        <v>0.013574660633484163</v>
      </c>
      <c r="H228" s="2">
        <f>IF(C228&lt;1,0,_XLL.RISKBINOMIAL(ROUND(C228,0),I228))</f>
        <v>0</v>
      </c>
      <c r="I228" s="8">
        <f t="shared" si="52"/>
        <v>5.569062148913506E-05</v>
      </c>
      <c r="J228" s="2">
        <f t="shared" si="45"/>
        <v>1220.7418090519864</v>
      </c>
      <c r="K228" s="2">
        <f t="shared" si="46"/>
        <v>3.2581909480136027</v>
      </c>
      <c r="L228" s="10">
        <f>_XLL.RISKOUTPUT(,"Contaminated food contact surfaces during a shift",225)+K228/(J228+K228)</f>
        <v>0.00266192070916144</v>
      </c>
      <c r="M228" s="2">
        <f>IF(J228&lt;1,0,_XLL.RISKBINOMIAL(ROUND(J228,0),N228))</f>
        <v>0</v>
      </c>
      <c r="N228" s="11">
        <f t="shared" si="53"/>
        <v>1.3308466217609727E-05</v>
      </c>
      <c r="O228" s="2">
        <f t="shared" si="54"/>
        <v>68</v>
      </c>
      <c r="P228" s="2">
        <f t="shared" si="55"/>
        <v>0</v>
      </c>
      <c r="Q228" s="10">
        <f>_XLL.RISKOUTPUT(,"Contaminated gloves during a shift",225)+P228/(O228+P228)</f>
        <v>0</v>
      </c>
      <c r="R228" s="2">
        <f>IF(O228&lt;1,0,_XLL.RISKBINOMIAL(ROUND(O228,0),S228))</f>
        <v>0</v>
      </c>
      <c r="S228" s="11">
        <f t="shared" si="47"/>
        <v>0.0002337817386286467</v>
      </c>
      <c r="U228" s="2">
        <f t="shared" si="42"/>
        <v>102</v>
      </c>
      <c r="V228" s="2">
        <f t="shared" si="43"/>
        <v>1224</v>
      </c>
      <c r="W228" s="2">
        <f t="shared" si="44"/>
        <v>68</v>
      </c>
    </row>
    <row r="229" spans="1:23" ht="12.75">
      <c r="A229">
        <v>1</v>
      </c>
      <c r="B229">
        <v>225</v>
      </c>
      <c r="C229" s="2">
        <f t="shared" si="48"/>
        <v>100.61538461538461</v>
      </c>
      <c r="D229" s="2">
        <f t="shared" si="49"/>
        <v>1.3846153846153846</v>
      </c>
      <c r="E229" s="2">
        <f t="shared" si="50"/>
        <v>10.061538461538461</v>
      </c>
      <c r="F229" s="2">
        <f t="shared" si="51"/>
        <v>0.13846153846153847</v>
      </c>
      <c r="G229" s="9">
        <f>_XLL.RISKOUTPUT(,"Contaminated food products during a shift",226)+D229/(C229+D229)</f>
        <v>0.013574660633484163</v>
      </c>
      <c r="H229" s="2">
        <f>IF(C229&lt;1,0,_XLL.RISKBINOMIAL(ROUND(C229,0),I229))</f>
        <v>0</v>
      </c>
      <c r="I229" s="8">
        <f t="shared" si="52"/>
        <v>5.569062148913506E-05</v>
      </c>
      <c r="J229" s="2">
        <f t="shared" si="45"/>
        <v>1220.7418090519864</v>
      </c>
      <c r="K229" s="2">
        <f t="shared" si="46"/>
        <v>3.2581909480136027</v>
      </c>
      <c r="L229" s="10">
        <f>_XLL.RISKOUTPUT(,"Contaminated food contact surfaces during a shift",226)+K229/(J229+K229)</f>
        <v>0.00266192070916144</v>
      </c>
      <c r="M229" s="2">
        <f>IF(J229&lt;1,0,_XLL.RISKBINOMIAL(ROUND(J229,0),N229))</f>
        <v>0</v>
      </c>
      <c r="N229" s="11">
        <f t="shared" si="53"/>
        <v>1.3308466217609727E-05</v>
      </c>
      <c r="O229" s="2">
        <f t="shared" si="54"/>
        <v>68</v>
      </c>
      <c r="P229" s="2">
        <f t="shared" si="55"/>
        <v>0</v>
      </c>
      <c r="Q229" s="10">
        <f>_XLL.RISKOUTPUT(,"Contaminated gloves during a shift",226)+P229/(O229+P229)</f>
        <v>0</v>
      </c>
      <c r="R229" s="2">
        <f>IF(O229&lt;1,0,_XLL.RISKBINOMIAL(ROUND(O229,0),S229))</f>
        <v>0</v>
      </c>
      <c r="S229" s="11">
        <f t="shared" si="47"/>
        <v>0.0002337817386286467</v>
      </c>
      <c r="U229" s="2">
        <f t="shared" si="42"/>
        <v>102</v>
      </c>
      <c r="V229" s="2">
        <f t="shared" si="43"/>
        <v>1224</v>
      </c>
      <c r="W229" s="2">
        <f t="shared" si="44"/>
        <v>68</v>
      </c>
    </row>
    <row r="230" spans="1:23" ht="12.75">
      <c r="A230">
        <v>1</v>
      </c>
      <c r="B230">
        <v>226</v>
      </c>
      <c r="C230" s="2">
        <f t="shared" si="48"/>
        <v>100.61538461538461</v>
      </c>
      <c r="D230" s="2">
        <f t="shared" si="49"/>
        <v>1.3846153846153846</v>
      </c>
      <c r="E230" s="2">
        <f t="shared" si="50"/>
        <v>10.061538461538461</v>
      </c>
      <c r="F230" s="2">
        <f t="shared" si="51"/>
        <v>0.13846153846153847</v>
      </c>
      <c r="G230" s="9">
        <f>_XLL.RISKOUTPUT(,"Contaminated food products during a shift",227)+D230/(C230+D230)</f>
        <v>0.013574660633484163</v>
      </c>
      <c r="H230" s="2">
        <f>IF(C230&lt;1,0,_XLL.RISKBINOMIAL(ROUND(C230,0),I230))</f>
        <v>0</v>
      </c>
      <c r="I230" s="8">
        <f t="shared" si="52"/>
        <v>5.569062148913506E-05</v>
      </c>
      <c r="J230" s="2">
        <f t="shared" si="45"/>
        <v>1220.7418090519864</v>
      </c>
      <c r="K230" s="2">
        <f t="shared" si="46"/>
        <v>3.2581909480136027</v>
      </c>
      <c r="L230" s="10">
        <f>_XLL.RISKOUTPUT(,"Contaminated food contact surfaces during a shift",227)+K230/(J230+K230)</f>
        <v>0.00266192070916144</v>
      </c>
      <c r="M230" s="2">
        <f>IF(J230&lt;1,0,_XLL.RISKBINOMIAL(ROUND(J230,0),N230))</f>
        <v>0</v>
      </c>
      <c r="N230" s="11">
        <f t="shared" si="53"/>
        <v>1.3308466217609727E-05</v>
      </c>
      <c r="O230" s="2">
        <f t="shared" si="54"/>
        <v>68</v>
      </c>
      <c r="P230" s="2">
        <f t="shared" si="55"/>
        <v>0</v>
      </c>
      <c r="Q230" s="10">
        <f>_XLL.RISKOUTPUT(,"Contaminated gloves during a shift",227)+P230/(O230+P230)</f>
        <v>0</v>
      </c>
      <c r="R230" s="2">
        <f>IF(O230&lt;1,0,_XLL.RISKBINOMIAL(ROUND(O230,0),S230))</f>
        <v>0</v>
      </c>
      <c r="S230" s="11">
        <f t="shared" si="47"/>
        <v>0.0002337817386286467</v>
      </c>
      <c r="U230" s="2">
        <f t="shared" si="42"/>
        <v>102</v>
      </c>
      <c r="V230" s="2">
        <f t="shared" si="43"/>
        <v>1224</v>
      </c>
      <c r="W230" s="2">
        <f t="shared" si="44"/>
        <v>68</v>
      </c>
    </row>
    <row r="231" spans="1:23" ht="12.75">
      <c r="A231">
        <v>1</v>
      </c>
      <c r="B231">
        <v>227</v>
      </c>
      <c r="C231" s="2">
        <f t="shared" si="48"/>
        <v>100.61538461538461</v>
      </c>
      <c r="D231" s="2">
        <f t="shared" si="49"/>
        <v>1.3846153846153846</v>
      </c>
      <c r="E231" s="2">
        <f t="shared" si="50"/>
        <v>10.061538461538461</v>
      </c>
      <c r="F231" s="2">
        <f t="shared" si="51"/>
        <v>0.13846153846153847</v>
      </c>
      <c r="G231" s="9">
        <f>_XLL.RISKOUTPUT(,"Contaminated food products during a shift",228)+D231/(C231+D231)</f>
        <v>0.013574660633484163</v>
      </c>
      <c r="H231" s="2">
        <f>IF(C231&lt;1,0,_XLL.RISKBINOMIAL(ROUND(C231,0),I231))</f>
        <v>0</v>
      </c>
      <c r="I231" s="8">
        <f t="shared" si="52"/>
        <v>5.569062148913506E-05</v>
      </c>
      <c r="J231" s="2">
        <f t="shared" si="45"/>
        <v>1220.7418090519864</v>
      </c>
      <c r="K231" s="2">
        <f t="shared" si="46"/>
        <v>3.2581909480136027</v>
      </c>
      <c r="L231" s="10">
        <f>_XLL.RISKOUTPUT(,"Contaminated food contact surfaces during a shift",228)+K231/(J231+K231)</f>
        <v>0.00266192070916144</v>
      </c>
      <c r="M231" s="2">
        <f>IF(J231&lt;1,0,_XLL.RISKBINOMIAL(ROUND(J231,0),N231))</f>
        <v>0</v>
      </c>
      <c r="N231" s="11">
        <f t="shared" si="53"/>
        <v>1.3308466217609727E-05</v>
      </c>
      <c r="O231" s="2">
        <f t="shared" si="54"/>
        <v>68</v>
      </c>
      <c r="P231" s="2">
        <f t="shared" si="55"/>
        <v>0</v>
      </c>
      <c r="Q231" s="10">
        <f>_XLL.RISKOUTPUT(,"Contaminated gloves during a shift",228)+P231/(O231+P231)</f>
        <v>0</v>
      </c>
      <c r="R231" s="2">
        <f>IF(O231&lt;1,0,_XLL.RISKBINOMIAL(ROUND(O231,0),S231))</f>
        <v>0</v>
      </c>
      <c r="S231" s="11">
        <f t="shared" si="47"/>
        <v>0.0002337817386286467</v>
      </c>
      <c r="U231" s="2">
        <f t="shared" si="42"/>
        <v>102</v>
      </c>
      <c r="V231" s="2">
        <f t="shared" si="43"/>
        <v>1224</v>
      </c>
      <c r="W231" s="2">
        <f t="shared" si="44"/>
        <v>68</v>
      </c>
    </row>
    <row r="232" spans="1:23" ht="12.75">
      <c r="A232">
        <v>1</v>
      </c>
      <c r="B232">
        <v>228</v>
      </c>
      <c r="C232" s="2">
        <f t="shared" si="48"/>
        <v>100.61538461538461</v>
      </c>
      <c r="D232" s="2">
        <f t="shared" si="49"/>
        <v>1.3846153846153846</v>
      </c>
      <c r="E232" s="2">
        <f t="shared" si="50"/>
        <v>10.061538461538461</v>
      </c>
      <c r="F232" s="2">
        <f t="shared" si="51"/>
        <v>0.13846153846153847</v>
      </c>
      <c r="G232" s="9">
        <f>_XLL.RISKOUTPUT(,"Contaminated food products during a shift",229)+D232/(C232+D232)</f>
        <v>0.013574660633484163</v>
      </c>
      <c r="H232" s="2">
        <f>IF(C232&lt;1,0,_XLL.RISKBINOMIAL(ROUND(C232,0),I232))</f>
        <v>0</v>
      </c>
      <c r="I232" s="8">
        <f t="shared" si="52"/>
        <v>5.569062148913506E-05</v>
      </c>
      <c r="J232" s="2">
        <f t="shared" si="45"/>
        <v>1220.7418090519864</v>
      </c>
      <c r="K232" s="2">
        <f t="shared" si="46"/>
        <v>3.2581909480136027</v>
      </c>
      <c r="L232" s="10">
        <f>_XLL.RISKOUTPUT(,"Contaminated food contact surfaces during a shift",229)+K232/(J232+K232)</f>
        <v>0.00266192070916144</v>
      </c>
      <c r="M232" s="2">
        <f>IF(J232&lt;1,0,_XLL.RISKBINOMIAL(ROUND(J232,0),N232))</f>
        <v>0</v>
      </c>
      <c r="N232" s="11">
        <f t="shared" si="53"/>
        <v>1.3308466217609727E-05</v>
      </c>
      <c r="O232" s="2">
        <f t="shared" si="54"/>
        <v>68</v>
      </c>
      <c r="P232" s="2">
        <f t="shared" si="55"/>
        <v>0</v>
      </c>
      <c r="Q232" s="10">
        <f>_XLL.RISKOUTPUT(,"Contaminated gloves during a shift",229)+P232/(O232+P232)</f>
        <v>0</v>
      </c>
      <c r="R232" s="2">
        <f>IF(O232&lt;1,0,_XLL.RISKBINOMIAL(ROUND(O232,0),S232))</f>
        <v>0</v>
      </c>
      <c r="S232" s="11">
        <f t="shared" si="47"/>
        <v>0.0002337817386286467</v>
      </c>
      <c r="U232" s="2">
        <f t="shared" si="42"/>
        <v>102</v>
      </c>
      <c r="V232" s="2">
        <f t="shared" si="43"/>
        <v>1224</v>
      </c>
      <c r="W232" s="2">
        <f t="shared" si="44"/>
        <v>68</v>
      </c>
    </row>
    <row r="233" spans="1:23" ht="12.75">
      <c r="A233">
        <v>1</v>
      </c>
      <c r="B233">
        <v>229</v>
      </c>
      <c r="C233" s="2">
        <f t="shared" si="48"/>
        <v>100.61538461538461</v>
      </c>
      <c r="D233" s="2">
        <f t="shared" si="49"/>
        <v>1.3846153846153846</v>
      </c>
      <c r="E233" s="2">
        <f t="shared" si="50"/>
        <v>10.061538461538461</v>
      </c>
      <c r="F233" s="2">
        <f t="shared" si="51"/>
        <v>0.13846153846153847</v>
      </c>
      <c r="G233" s="9">
        <f>_XLL.RISKOUTPUT(,"Contaminated food products during a shift",230)+D233/(C233+D233)</f>
        <v>0.013574660633484163</v>
      </c>
      <c r="H233" s="2">
        <f>IF(C233&lt;1,0,_XLL.RISKBINOMIAL(ROUND(C233,0),I233))</f>
        <v>0</v>
      </c>
      <c r="I233" s="8">
        <f t="shared" si="52"/>
        <v>5.569062148913506E-05</v>
      </c>
      <c r="J233" s="2">
        <f t="shared" si="45"/>
        <v>1220.7418090519864</v>
      </c>
      <c r="K233" s="2">
        <f t="shared" si="46"/>
        <v>3.2581909480136027</v>
      </c>
      <c r="L233" s="10">
        <f>_XLL.RISKOUTPUT(,"Contaminated food contact surfaces during a shift",230)+K233/(J233+K233)</f>
        <v>0.00266192070916144</v>
      </c>
      <c r="M233" s="2">
        <f>IF(J233&lt;1,0,_XLL.RISKBINOMIAL(ROUND(J233,0),N233))</f>
        <v>0</v>
      </c>
      <c r="N233" s="11">
        <f t="shared" si="53"/>
        <v>1.3308466217609727E-05</v>
      </c>
      <c r="O233" s="2">
        <f t="shared" si="54"/>
        <v>68</v>
      </c>
      <c r="P233" s="2">
        <f t="shared" si="55"/>
        <v>0</v>
      </c>
      <c r="Q233" s="10">
        <f>_XLL.RISKOUTPUT(,"Contaminated gloves during a shift",230)+P233/(O233+P233)</f>
        <v>0</v>
      </c>
      <c r="R233" s="2">
        <f>IF(O233&lt;1,0,_XLL.RISKBINOMIAL(ROUND(O233,0),S233))</f>
        <v>0</v>
      </c>
      <c r="S233" s="11">
        <f t="shared" si="47"/>
        <v>0.0002337817386286467</v>
      </c>
      <c r="U233" s="2">
        <f t="shared" si="42"/>
        <v>102</v>
      </c>
      <c r="V233" s="2">
        <f t="shared" si="43"/>
        <v>1224</v>
      </c>
      <c r="W233" s="2">
        <f t="shared" si="44"/>
        <v>68</v>
      </c>
    </row>
    <row r="234" spans="1:23" ht="12.75">
      <c r="A234">
        <v>1</v>
      </c>
      <c r="B234">
        <v>230</v>
      </c>
      <c r="C234" s="2">
        <f t="shared" si="48"/>
        <v>100.61538461538461</v>
      </c>
      <c r="D234" s="2">
        <f t="shared" si="49"/>
        <v>1.3846153846153846</v>
      </c>
      <c r="E234" s="2">
        <f t="shared" si="50"/>
        <v>10.061538461538461</v>
      </c>
      <c r="F234" s="2">
        <f t="shared" si="51"/>
        <v>0.13846153846153847</v>
      </c>
      <c r="G234" s="9">
        <f>_XLL.RISKOUTPUT(,"Contaminated food products during a shift",231)+D234/(C234+D234)</f>
        <v>0.013574660633484163</v>
      </c>
      <c r="H234" s="2">
        <f>IF(C234&lt;1,0,_XLL.RISKBINOMIAL(ROUND(C234,0),I234))</f>
        <v>0</v>
      </c>
      <c r="I234" s="8">
        <f t="shared" si="52"/>
        <v>5.569062148913506E-05</v>
      </c>
      <c r="J234" s="2">
        <f t="shared" si="45"/>
        <v>1220.7418090519864</v>
      </c>
      <c r="K234" s="2">
        <f t="shared" si="46"/>
        <v>3.2581909480136027</v>
      </c>
      <c r="L234" s="10">
        <f>_XLL.RISKOUTPUT(,"Contaminated food contact surfaces during a shift",231)+K234/(J234+K234)</f>
        <v>0.00266192070916144</v>
      </c>
      <c r="M234" s="2">
        <f>IF(J234&lt;1,0,_XLL.RISKBINOMIAL(ROUND(J234,0),N234))</f>
        <v>0</v>
      </c>
      <c r="N234" s="11">
        <f t="shared" si="53"/>
        <v>1.3308466217609727E-05</v>
      </c>
      <c r="O234" s="2">
        <f t="shared" si="54"/>
        <v>68</v>
      </c>
      <c r="P234" s="2">
        <f t="shared" si="55"/>
        <v>0</v>
      </c>
      <c r="Q234" s="10">
        <f>_XLL.RISKOUTPUT(,"Contaminated gloves during a shift",231)+P234/(O234+P234)</f>
        <v>0</v>
      </c>
      <c r="R234" s="2">
        <f>IF(O234&lt;1,0,_XLL.RISKBINOMIAL(ROUND(O234,0),S234))</f>
        <v>0</v>
      </c>
      <c r="S234" s="11">
        <f t="shared" si="47"/>
        <v>0.0002337817386286467</v>
      </c>
      <c r="U234" s="2">
        <f t="shared" si="42"/>
        <v>102</v>
      </c>
      <c r="V234" s="2">
        <f t="shared" si="43"/>
        <v>1224</v>
      </c>
      <c r="W234" s="2">
        <f t="shared" si="44"/>
        <v>68</v>
      </c>
    </row>
    <row r="235" spans="1:23" ht="12.75">
      <c r="A235">
        <v>1</v>
      </c>
      <c r="B235">
        <v>231</v>
      </c>
      <c r="C235" s="2">
        <f t="shared" si="48"/>
        <v>100.61538461538461</v>
      </c>
      <c r="D235" s="2">
        <f t="shared" si="49"/>
        <v>1.3846153846153846</v>
      </c>
      <c r="E235" s="2">
        <f t="shared" si="50"/>
        <v>10.061538461538461</v>
      </c>
      <c r="F235" s="2">
        <f t="shared" si="51"/>
        <v>0.13846153846153847</v>
      </c>
      <c r="G235" s="9">
        <f>_XLL.RISKOUTPUT(,"Contaminated food products during a shift",232)+D235/(C235+D235)</f>
        <v>0.013574660633484163</v>
      </c>
      <c r="H235" s="2">
        <f>IF(C235&lt;1,0,_XLL.RISKBINOMIAL(ROUND(C235,0),I235))</f>
        <v>0</v>
      </c>
      <c r="I235" s="8">
        <f t="shared" si="52"/>
        <v>5.569062148913506E-05</v>
      </c>
      <c r="J235" s="2">
        <f t="shared" si="45"/>
        <v>1220.7418090519864</v>
      </c>
      <c r="K235" s="2">
        <f t="shared" si="46"/>
        <v>3.2581909480136027</v>
      </c>
      <c r="L235" s="10">
        <f>_XLL.RISKOUTPUT(,"Contaminated food contact surfaces during a shift",232)+K235/(J235+K235)</f>
        <v>0.00266192070916144</v>
      </c>
      <c r="M235" s="2">
        <f>IF(J235&lt;1,0,_XLL.RISKBINOMIAL(ROUND(J235,0),N235))</f>
        <v>0</v>
      </c>
      <c r="N235" s="11">
        <f t="shared" si="53"/>
        <v>1.3308466217609727E-05</v>
      </c>
      <c r="O235" s="2">
        <f t="shared" si="54"/>
        <v>68</v>
      </c>
      <c r="P235" s="2">
        <f t="shared" si="55"/>
        <v>0</v>
      </c>
      <c r="Q235" s="10">
        <f>_XLL.RISKOUTPUT(,"Contaminated gloves during a shift",232)+P235/(O235+P235)</f>
        <v>0</v>
      </c>
      <c r="R235" s="2">
        <f>IF(O235&lt;1,0,_XLL.RISKBINOMIAL(ROUND(O235,0),S235))</f>
        <v>0</v>
      </c>
      <c r="S235" s="11">
        <f t="shared" si="47"/>
        <v>0.0002337817386286467</v>
      </c>
      <c r="U235" s="2">
        <f t="shared" si="42"/>
        <v>102</v>
      </c>
      <c r="V235" s="2">
        <f t="shared" si="43"/>
        <v>1224</v>
      </c>
      <c r="W235" s="2">
        <f t="shared" si="44"/>
        <v>68</v>
      </c>
    </row>
    <row r="236" spans="1:23" ht="12.75">
      <c r="A236">
        <v>1</v>
      </c>
      <c r="B236">
        <v>232</v>
      </c>
      <c r="C236" s="2">
        <f t="shared" si="48"/>
        <v>100.61538461538461</v>
      </c>
      <c r="D236" s="2">
        <f t="shared" si="49"/>
        <v>1.3846153846153846</v>
      </c>
      <c r="E236" s="2">
        <f t="shared" si="50"/>
        <v>10.061538461538461</v>
      </c>
      <c r="F236" s="2">
        <f t="shared" si="51"/>
        <v>0.13846153846153847</v>
      </c>
      <c r="G236" s="9">
        <f>_XLL.RISKOUTPUT(,"Contaminated food products during a shift",233)+D236/(C236+D236)</f>
        <v>0.013574660633484163</v>
      </c>
      <c r="H236" s="2">
        <f>IF(C236&lt;1,0,_XLL.RISKBINOMIAL(ROUND(C236,0),I236))</f>
        <v>0</v>
      </c>
      <c r="I236" s="8">
        <f t="shared" si="52"/>
        <v>5.569062148913506E-05</v>
      </c>
      <c r="J236" s="2">
        <f t="shared" si="45"/>
        <v>1220.7418090519864</v>
      </c>
      <c r="K236" s="2">
        <f t="shared" si="46"/>
        <v>3.2581909480136027</v>
      </c>
      <c r="L236" s="10">
        <f>_XLL.RISKOUTPUT(,"Contaminated food contact surfaces during a shift",233)+K236/(J236+K236)</f>
        <v>0.00266192070916144</v>
      </c>
      <c r="M236" s="2">
        <f>IF(J236&lt;1,0,_XLL.RISKBINOMIAL(ROUND(J236,0),N236))</f>
        <v>0</v>
      </c>
      <c r="N236" s="11">
        <f t="shared" si="53"/>
        <v>1.3308466217609727E-05</v>
      </c>
      <c r="O236" s="2">
        <f t="shared" si="54"/>
        <v>68</v>
      </c>
      <c r="P236" s="2">
        <f t="shared" si="55"/>
        <v>0</v>
      </c>
      <c r="Q236" s="10">
        <f>_XLL.RISKOUTPUT(,"Contaminated gloves during a shift",233)+P236/(O236+P236)</f>
        <v>0</v>
      </c>
      <c r="R236" s="2">
        <f>IF(O236&lt;1,0,_XLL.RISKBINOMIAL(ROUND(O236,0),S236))</f>
        <v>0</v>
      </c>
      <c r="S236" s="11">
        <f t="shared" si="47"/>
        <v>0.0002337817386286467</v>
      </c>
      <c r="U236" s="2">
        <f t="shared" si="42"/>
        <v>102</v>
      </c>
      <c r="V236" s="2">
        <f t="shared" si="43"/>
        <v>1224</v>
      </c>
      <c r="W236" s="2">
        <f t="shared" si="44"/>
        <v>68</v>
      </c>
    </row>
    <row r="237" spans="1:23" ht="12.75">
      <c r="A237">
        <v>1</v>
      </c>
      <c r="B237">
        <v>233</v>
      </c>
      <c r="C237" s="2">
        <f t="shared" si="48"/>
        <v>100.61538461538461</v>
      </c>
      <c r="D237" s="2">
        <f t="shared" si="49"/>
        <v>1.3846153846153846</v>
      </c>
      <c r="E237" s="2">
        <f t="shared" si="50"/>
        <v>10.061538461538461</v>
      </c>
      <c r="F237" s="2">
        <f t="shared" si="51"/>
        <v>0.13846153846153847</v>
      </c>
      <c r="G237" s="9">
        <f>_XLL.RISKOUTPUT(,"Contaminated food products during a shift",234)+D237/(C237+D237)</f>
        <v>0.013574660633484163</v>
      </c>
      <c r="H237" s="2">
        <f>IF(C237&lt;1,0,_XLL.RISKBINOMIAL(ROUND(C237,0),I237))</f>
        <v>0</v>
      </c>
      <c r="I237" s="8">
        <f t="shared" si="52"/>
        <v>5.569062148913506E-05</v>
      </c>
      <c r="J237" s="2">
        <f t="shared" si="45"/>
        <v>1220.7418090519864</v>
      </c>
      <c r="K237" s="2">
        <f t="shared" si="46"/>
        <v>3.2581909480136027</v>
      </c>
      <c r="L237" s="10">
        <f>_XLL.RISKOUTPUT(,"Contaminated food contact surfaces during a shift",234)+K237/(J237+K237)</f>
        <v>0.00266192070916144</v>
      </c>
      <c r="M237" s="2">
        <f>IF(J237&lt;1,0,_XLL.RISKBINOMIAL(ROUND(J237,0),N237))</f>
        <v>0</v>
      </c>
      <c r="N237" s="11">
        <f t="shared" si="53"/>
        <v>1.3308466217609727E-05</v>
      </c>
      <c r="O237" s="2">
        <f t="shared" si="54"/>
        <v>68</v>
      </c>
      <c r="P237" s="2">
        <f t="shared" si="55"/>
        <v>0</v>
      </c>
      <c r="Q237" s="10">
        <f>_XLL.RISKOUTPUT(,"Contaminated gloves during a shift",234)+P237/(O237+P237)</f>
        <v>0</v>
      </c>
      <c r="R237" s="2">
        <f>IF(O237&lt;1,0,_XLL.RISKBINOMIAL(ROUND(O237,0),S237))</f>
        <v>0</v>
      </c>
      <c r="S237" s="11">
        <f t="shared" si="47"/>
        <v>0.0002337817386286467</v>
      </c>
      <c r="U237" s="2">
        <f t="shared" si="42"/>
        <v>102</v>
      </c>
      <c r="V237" s="2">
        <f t="shared" si="43"/>
        <v>1224</v>
      </c>
      <c r="W237" s="2">
        <f t="shared" si="44"/>
        <v>68</v>
      </c>
    </row>
    <row r="238" spans="1:23" ht="12.75">
      <c r="A238">
        <v>1</v>
      </c>
      <c r="B238">
        <v>234</v>
      </c>
      <c r="C238" s="2">
        <f t="shared" si="48"/>
        <v>100.61538461538461</v>
      </c>
      <c r="D238" s="2">
        <f t="shared" si="49"/>
        <v>1.3846153846153846</v>
      </c>
      <c r="E238" s="2">
        <f t="shared" si="50"/>
        <v>10.061538461538461</v>
      </c>
      <c r="F238" s="2">
        <f t="shared" si="51"/>
        <v>0.13846153846153847</v>
      </c>
      <c r="G238" s="9">
        <f>_XLL.RISKOUTPUT(,"Contaminated food products during a shift",235)+D238/(C238+D238)</f>
        <v>0.013574660633484163</v>
      </c>
      <c r="H238" s="2">
        <f>IF(C238&lt;1,0,_XLL.RISKBINOMIAL(ROUND(C238,0),I238))</f>
        <v>0</v>
      </c>
      <c r="I238" s="8">
        <f t="shared" si="52"/>
        <v>5.569062148913506E-05</v>
      </c>
      <c r="J238" s="2">
        <f t="shared" si="45"/>
        <v>1220.7418090519864</v>
      </c>
      <c r="K238" s="2">
        <f t="shared" si="46"/>
        <v>3.2581909480136027</v>
      </c>
      <c r="L238" s="10">
        <f>_XLL.RISKOUTPUT(,"Contaminated food contact surfaces during a shift",235)+K238/(J238+K238)</f>
        <v>0.00266192070916144</v>
      </c>
      <c r="M238" s="2">
        <f>IF(J238&lt;1,0,_XLL.RISKBINOMIAL(ROUND(J238,0),N238))</f>
        <v>0</v>
      </c>
      <c r="N238" s="11">
        <f t="shared" si="53"/>
        <v>1.3308466217609727E-05</v>
      </c>
      <c r="O238" s="2">
        <f t="shared" si="54"/>
        <v>68</v>
      </c>
      <c r="P238" s="2">
        <f t="shared" si="55"/>
        <v>0</v>
      </c>
      <c r="Q238" s="10">
        <f>_XLL.RISKOUTPUT(,"Contaminated gloves during a shift",235)+P238/(O238+P238)</f>
        <v>0</v>
      </c>
      <c r="R238" s="2">
        <f>IF(O238&lt;1,0,_XLL.RISKBINOMIAL(ROUND(O238,0),S238))</f>
        <v>0</v>
      </c>
      <c r="S238" s="11">
        <f t="shared" si="47"/>
        <v>0.0002337817386286467</v>
      </c>
      <c r="U238" s="2">
        <f t="shared" si="42"/>
        <v>102</v>
      </c>
      <c r="V238" s="2">
        <f t="shared" si="43"/>
        <v>1224</v>
      </c>
      <c r="W238" s="2">
        <f t="shared" si="44"/>
        <v>68</v>
      </c>
    </row>
    <row r="239" spans="1:23" ht="12.75">
      <c r="A239">
        <v>1</v>
      </c>
      <c r="B239">
        <v>235</v>
      </c>
      <c r="C239" s="2">
        <f t="shared" si="48"/>
        <v>100.61538461538461</v>
      </c>
      <c r="D239" s="2">
        <f t="shared" si="49"/>
        <v>1.3846153846153846</v>
      </c>
      <c r="E239" s="2">
        <f t="shared" si="50"/>
        <v>10.061538461538461</v>
      </c>
      <c r="F239" s="2">
        <f t="shared" si="51"/>
        <v>0.13846153846153847</v>
      </c>
      <c r="G239" s="9">
        <f>_XLL.RISKOUTPUT(,"Contaminated food products during a shift",236)+D239/(C239+D239)</f>
        <v>0.013574660633484163</v>
      </c>
      <c r="H239" s="2">
        <f>IF(C239&lt;1,0,_XLL.RISKBINOMIAL(ROUND(C239,0),I239))</f>
        <v>0</v>
      </c>
      <c r="I239" s="8">
        <f t="shared" si="52"/>
        <v>5.569062148913506E-05</v>
      </c>
      <c r="J239" s="2">
        <f t="shared" si="45"/>
        <v>1220.7418090519864</v>
      </c>
      <c r="K239" s="2">
        <f t="shared" si="46"/>
        <v>3.2581909480136027</v>
      </c>
      <c r="L239" s="10">
        <f>_XLL.RISKOUTPUT(,"Contaminated food contact surfaces during a shift",236)+K239/(J239+K239)</f>
        <v>0.00266192070916144</v>
      </c>
      <c r="M239" s="2">
        <f>IF(J239&lt;1,0,_XLL.RISKBINOMIAL(ROUND(J239,0),N239))</f>
        <v>0</v>
      </c>
      <c r="N239" s="11">
        <f t="shared" si="53"/>
        <v>1.3308466217609727E-05</v>
      </c>
      <c r="O239" s="2">
        <f t="shared" si="54"/>
        <v>68</v>
      </c>
      <c r="P239" s="2">
        <f t="shared" si="55"/>
        <v>0</v>
      </c>
      <c r="Q239" s="10">
        <f>_XLL.RISKOUTPUT(,"Contaminated gloves during a shift",236)+P239/(O239+P239)</f>
        <v>0</v>
      </c>
      <c r="R239" s="2">
        <f>IF(O239&lt;1,0,_XLL.RISKBINOMIAL(ROUND(O239,0),S239))</f>
        <v>0</v>
      </c>
      <c r="S239" s="11">
        <f t="shared" si="47"/>
        <v>0.0002337817386286467</v>
      </c>
      <c r="U239" s="2">
        <f t="shared" si="42"/>
        <v>102</v>
      </c>
      <c r="V239" s="2">
        <f t="shared" si="43"/>
        <v>1224</v>
      </c>
      <c r="W239" s="2">
        <f t="shared" si="44"/>
        <v>68</v>
      </c>
    </row>
    <row r="240" spans="1:23" ht="12.75">
      <c r="A240">
        <v>1</v>
      </c>
      <c r="B240">
        <v>236</v>
      </c>
      <c r="C240" s="2">
        <f t="shared" si="48"/>
        <v>100.61538461538461</v>
      </c>
      <c r="D240" s="2">
        <f t="shared" si="49"/>
        <v>1.3846153846153846</v>
      </c>
      <c r="E240" s="2">
        <f t="shared" si="50"/>
        <v>10.061538461538461</v>
      </c>
      <c r="F240" s="2">
        <f t="shared" si="51"/>
        <v>0.13846153846153847</v>
      </c>
      <c r="G240" s="9">
        <f>_XLL.RISKOUTPUT(,"Contaminated food products during a shift",237)+D240/(C240+D240)</f>
        <v>0.013574660633484163</v>
      </c>
      <c r="H240" s="2">
        <f>IF(C240&lt;1,0,_XLL.RISKBINOMIAL(ROUND(C240,0),I240))</f>
        <v>0</v>
      </c>
      <c r="I240" s="8">
        <f t="shared" si="52"/>
        <v>5.569062148913506E-05</v>
      </c>
      <c r="J240" s="2">
        <f t="shared" si="45"/>
        <v>1220.7418090519864</v>
      </c>
      <c r="K240" s="2">
        <f t="shared" si="46"/>
        <v>3.2581909480136027</v>
      </c>
      <c r="L240" s="10">
        <f>_XLL.RISKOUTPUT(,"Contaminated food contact surfaces during a shift",237)+K240/(J240+K240)</f>
        <v>0.00266192070916144</v>
      </c>
      <c r="M240" s="2">
        <f>IF(J240&lt;1,0,_XLL.RISKBINOMIAL(ROUND(J240,0),N240))</f>
        <v>0</v>
      </c>
      <c r="N240" s="11">
        <f t="shared" si="53"/>
        <v>1.3308466217609727E-05</v>
      </c>
      <c r="O240" s="2">
        <f t="shared" si="54"/>
        <v>68</v>
      </c>
      <c r="P240" s="2">
        <f t="shared" si="55"/>
        <v>0</v>
      </c>
      <c r="Q240" s="10">
        <f>_XLL.RISKOUTPUT(,"Contaminated gloves during a shift",237)+P240/(O240+P240)</f>
        <v>0</v>
      </c>
      <c r="R240" s="2">
        <f>IF(O240&lt;1,0,_XLL.RISKBINOMIAL(ROUND(O240,0),S240))</f>
        <v>0</v>
      </c>
      <c r="S240" s="11">
        <f t="shared" si="47"/>
        <v>0.0002337817386286467</v>
      </c>
      <c r="U240" s="2">
        <f t="shared" si="42"/>
        <v>102</v>
      </c>
      <c r="V240" s="2">
        <f t="shared" si="43"/>
        <v>1224</v>
      </c>
      <c r="W240" s="2">
        <f t="shared" si="44"/>
        <v>68</v>
      </c>
    </row>
    <row r="241" spans="1:23" ht="12.75">
      <c r="A241">
        <v>1</v>
      </c>
      <c r="B241">
        <v>237</v>
      </c>
      <c r="C241" s="2">
        <f t="shared" si="48"/>
        <v>100.61538461538461</v>
      </c>
      <c r="D241" s="2">
        <f t="shared" si="49"/>
        <v>1.3846153846153846</v>
      </c>
      <c r="E241" s="2">
        <f t="shared" si="50"/>
        <v>10.061538461538461</v>
      </c>
      <c r="F241" s="2">
        <f t="shared" si="51"/>
        <v>0.13846153846153847</v>
      </c>
      <c r="G241" s="9">
        <f>_XLL.RISKOUTPUT(,"Contaminated food products during a shift",238)+D241/(C241+D241)</f>
        <v>0.013574660633484163</v>
      </c>
      <c r="H241" s="2">
        <f>IF(C241&lt;1,0,_XLL.RISKBINOMIAL(ROUND(C241,0),I241))</f>
        <v>0</v>
      </c>
      <c r="I241" s="8">
        <f t="shared" si="52"/>
        <v>5.569062148913506E-05</v>
      </c>
      <c r="J241" s="2">
        <f t="shared" si="45"/>
        <v>1220.7418090519864</v>
      </c>
      <c r="K241" s="2">
        <f t="shared" si="46"/>
        <v>3.2581909480136027</v>
      </c>
      <c r="L241" s="10">
        <f>_XLL.RISKOUTPUT(,"Contaminated food contact surfaces during a shift",238)+K241/(J241+K241)</f>
        <v>0.00266192070916144</v>
      </c>
      <c r="M241" s="2">
        <f>IF(J241&lt;1,0,_XLL.RISKBINOMIAL(ROUND(J241,0),N241))</f>
        <v>0</v>
      </c>
      <c r="N241" s="11">
        <f t="shared" si="53"/>
        <v>1.3308466217609727E-05</v>
      </c>
      <c r="O241" s="2">
        <f t="shared" si="54"/>
        <v>68</v>
      </c>
      <c r="P241" s="2">
        <f t="shared" si="55"/>
        <v>0</v>
      </c>
      <c r="Q241" s="10">
        <f>_XLL.RISKOUTPUT(,"Contaminated gloves during a shift",238)+P241/(O241+P241)</f>
        <v>0</v>
      </c>
      <c r="R241" s="2">
        <f>IF(O241&lt;1,0,_XLL.RISKBINOMIAL(ROUND(O241,0),S241))</f>
        <v>0</v>
      </c>
      <c r="S241" s="11">
        <f t="shared" si="47"/>
        <v>0.0002337817386286467</v>
      </c>
      <c r="U241" s="2">
        <f t="shared" si="42"/>
        <v>102</v>
      </c>
      <c r="V241" s="2">
        <f t="shared" si="43"/>
        <v>1224</v>
      </c>
      <c r="W241" s="2">
        <f t="shared" si="44"/>
        <v>68</v>
      </c>
    </row>
    <row r="242" spans="1:23" ht="12.75">
      <c r="A242">
        <v>1</v>
      </c>
      <c r="B242">
        <v>238</v>
      </c>
      <c r="C242" s="2">
        <f t="shared" si="48"/>
        <v>100.61538461538461</v>
      </c>
      <c r="D242" s="2">
        <f t="shared" si="49"/>
        <v>1.3846153846153846</v>
      </c>
      <c r="E242" s="2">
        <f t="shared" si="50"/>
        <v>10.061538461538461</v>
      </c>
      <c r="F242" s="2">
        <f t="shared" si="51"/>
        <v>0.13846153846153847</v>
      </c>
      <c r="G242" s="9">
        <f>_XLL.RISKOUTPUT(,"Contaminated food products during a shift",239)+D242/(C242+D242)</f>
        <v>0.013574660633484163</v>
      </c>
      <c r="H242" s="2">
        <f>IF(C242&lt;1,0,_XLL.RISKBINOMIAL(ROUND(C242,0),I242))</f>
        <v>0</v>
      </c>
      <c r="I242" s="8">
        <f t="shared" si="52"/>
        <v>5.569062148913506E-05</v>
      </c>
      <c r="J242" s="2">
        <f t="shared" si="45"/>
        <v>1220.7418090519864</v>
      </c>
      <c r="K242" s="2">
        <f t="shared" si="46"/>
        <v>3.2581909480136027</v>
      </c>
      <c r="L242" s="10">
        <f>_XLL.RISKOUTPUT(,"Contaminated food contact surfaces during a shift",239)+K242/(J242+K242)</f>
        <v>0.00266192070916144</v>
      </c>
      <c r="M242" s="2">
        <f>IF(J242&lt;1,0,_XLL.RISKBINOMIAL(ROUND(J242,0),N242))</f>
        <v>0</v>
      </c>
      <c r="N242" s="11">
        <f t="shared" si="53"/>
        <v>1.3308466217609727E-05</v>
      </c>
      <c r="O242" s="2">
        <f t="shared" si="54"/>
        <v>68</v>
      </c>
      <c r="P242" s="2">
        <f t="shared" si="55"/>
        <v>0</v>
      </c>
      <c r="Q242" s="10">
        <f>_XLL.RISKOUTPUT(,"Contaminated gloves during a shift",239)+P242/(O242+P242)</f>
        <v>0</v>
      </c>
      <c r="R242" s="2">
        <f>IF(O242&lt;1,0,_XLL.RISKBINOMIAL(ROUND(O242,0),S242))</f>
        <v>0</v>
      </c>
      <c r="S242" s="11">
        <f t="shared" si="47"/>
        <v>0.0002337817386286467</v>
      </c>
      <c r="U242" s="2">
        <f t="shared" si="42"/>
        <v>102</v>
      </c>
      <c r="V242" s="2">
        <f t="shared" si="43"/>
        <v>1224</v>
      </c>
      <c r="W242" s="2">
        <f t="shared" si="44"/>
        <v>68</v>
      </c>
    </row>
    <row r="243" spans="1:23" ht="12.75">
      <c r="A243">
        <v>1</v>
      </c>
      <c r="B243">
        <v>239</v>
      </c>
      <c r="C243" s="2">
        <f t="shared" si="48"/>
        <v>100.61538461538461</v>
      </c>
      <c r="D243" s="2">
        <f t="shared" si="49"/>
        <v>1.3846153846153846</v>
      </c>
      <c r="E243" s="2">
        <f t="shared" si="50"/>
        <v>10.061538461538461</v>
      </c>
      <c r="F243" s="2">
        <f t="shared" si="51"/>
        <v>0.13846153846153847</v>
      </c>
      <c r="G243" s="9">
        <f>_XLL.RISKOUTPUT(,"Contaminated food products during a shift",240)+D243/(C243+D243)</f>
        <v>0.013574660633484163</v>
      </c>
      <c r="H243" s="2">
        <f>IF(C243&lt;1,0,_XLL.RISKBINOMIAL(ROUND(C243,0),I243))</f>
        <v>0</v>
      </c>
      <c r="I243" s="8">
        <f t="shared" si="52"/>
        <v>5.569062148913506E-05</v>
      </c>
      <c r="J243" s="2">
        <f t="shared" si="45"/>
        <v>1220.7418090519864</v>
      </c>
      <c r="K243" s="2">
        <f t="shared" si="46"/>
        <v>3.2581909480136027</v>
      </c>
      <c r="L243" s="10">
        <f>_XLL.RISKOUTPUT(,"Contaminated food contact surfaces during a shift",240)+K243/(J243+K243)</f>
        <v>0.00266192070916144</v>
      </c>
      <c r="M243" s="2">
        <f>IF(J243&lt;1,0,_XLL.RISKBINOMIAL(ROUND(J243,0),N243))</f>
        <v>0</v>
      </c>
      <c r="N243" s="11">
        <f t="shared" si="53"/>
        <v>1.3308466217609727E-05</v>
      </c>
      <c r="O243" s="2">
        <f t="shared" si="54"/>
        <v>68</v>
      </c>
      <c r="P243" s="2">
        <f t="shared" si="55"/>
        <v>0</v>
      </c>
      <c r="Q243" s="10">
        <f>_XLL.RISKOUTPUT(,"Contaminated gloves during a shift",240)+P243/(O243+P243)</f>
        <v>0</v>
      </c>
      <c r="R243" s="2">
        <f>IF(O243&lt;1,0,_XLL.RISKBINOMIAL(ROUND(O243,0),S243))</f>
        <v>0</v>
      </c>
      <c r="S243" s="11">
        <f t="shared" si="47"/>
        <v>0.0002337817386286467</v>
      </c>
      <c r="U243" s="2">
        <f t="shared" si="42"/>
        <v>102</v>
      </c>
      <c r="V243" s="2">
        <f t="shared" si="43"/>
        <v>1224</v>
      </c>
      <c r="W243" s="2">
        <f t="shared" si="44"/>
        <v>68</v>
      </c>
    </row>
    <row r="244" spans="1:23" ht="12.75">
      <c r="A244">
        <v>1</v>
      </c>
      <c r="B244">
        <v>240</v>
      </c>
      <c r="C244" s="2">
        <f t="shared" si="48"/>
        <v>100.61538461538461</v>
      </c>
      <c r="D244" s="2">
        <f t="shared" si="49"/>
        <v>1.3846153846153846</v>
      </c>
      <c r="E244" s="2">
        <f t="shared" si="50"/>
        <v>10.061538461538461</v>
      </c>
      <c r="F244" s="2">
        <f t="shared" si="51"/>
        <v>0.13846153846153847</v>
      </c>
      <c r="G244" s="9">
        <f>_XLL.RISKOUTPUT(,"Contaminated food products during a shift",241)+D244/(C244+D244)</f>
        <v>0.013574660633484163</v>
      </c>
      <c r="H244" s="2">
        <f>IF(C244&lt;1,0,_XLL.RISKBINOMIAL(ROUND(C244,0),I244))</f>
        <v>0</v>
      </c>
      <c r="I244" s="8">
        <f t="shared" si="52"/>
        <v>5.569062148913506E-05</v>
      </c>
      <c r="J244" s="2">
        <f t="shared" si="45"/>
        <v>1220.7418090519864</v>
      </c>
      <c r="K244" s="2">
        <f t="shared" si="46"/>
        <v>3.2581909480136027</v>
      </c>
      <c r="L244" s="10">
        <f>_XLL.RISKOUTPUT(,"Contaminated food contact surfaces during a shift",241)+K244/(J244+K244)</f>
        <v>0.00266192070916144</v>
      </c>
      <c r="M244" s="2">
        <f>IF(J244&lt;1,0,_XLL.RISKBINOMIAL(ROUND(J244,0),N244))</f>
        <v>0</v>
      </c>
      <c r="N244" s="11">
        <f t="shared" si="53"/>
        <v>1.3308466217609727E-05</v>
      </c>
      <c r="O244" s="2">
        <f t="shared" si="54"/>
        <v>68</v>
      </c>
      <c r="P244" s="2">
        <f t="shared" si="55"/>
        <v>0</v>
      </c>
      <c r="Q244" s="10">
        <f>_XLL.RISKOUTPUT(,"Contaminated gloves during a shift",241)+P244/(O244+P244)</f>
        <v>0</v>
      </c>
      <c r="R244" s="2">
        <f>IF(O244&lt;1,0,_XLL.RISKBINOMIAL(ROUND(O244,0),S244))</f>
        <v>0</v>
      </c>
      <c r="S244" s="11">
        <f t="shared" si="47"/>
        <v>0.0002337817386286467</v>
      </c>
      <c r="U244" s="2">
        <f t="shared" si="42"/>
        <v>102</v>
      </c>
      <c r="V244" s="2">
        <f t="shared" si="43"/>
        <v>1224</v>
      </c>
      <c r="W244" s="2">
        <f t="shared" si="44"/>
        <v>68</v>
      </c>
    </row>
    <row r="245" spans="1:23" ht="12.75">
      <c r="A245">
        <v>1</v>
      </c>
      <c r="B245">
        <v>241</v>
      </c>
      <c r="C245" s="2">
        <f t="shared" si="48"/>
        <v>100.61538461538461</v>
      </c>
      <c r="D245" s="2">
        <f t="shared" si="49"/>
        <v>1.3846153846153846</v>
      </c>
      <c r="E245" s="2">
        <f t="shared" si="50"/>
        <v>10.061538461538461</v>
      </c>
      <c r="F245" s="2">
        <f t="shared" si="51"/>
        <v>0.13846153846153847</v>
      </c>
      <c r="G245" s="9">
        <f>_XLL.RISKOUTPUT(,"Contaminated food products during a shift",242)+D245/(C245+D245)</f>
        <v>0.013574660633484163</v>
      </c>
      <c r="H245" s="2">
        <f>IF(C245&lt;1,0,_XLL.RISKBINOMIAL(ROUND(C245,0),I245))</f>
        <v>0</v>
      </c>
      <c r="I245" s="8">
        <f t="shared" si="52"/>
        <v>5.569062148913506E-05</v>
      </c>
      <c r="J245" s="2">
        <f t="shared" si="45"/>
        <v>1220.7418090519864</v>
      </c>
      <c r="K245" s="2">
        <f t="shared" si="46"/>
        <v>3.2581909480136027</v>
      </c>
      <c r="L245" s="10">
        <f>_XLL.RISKOUTPUT(,"Contaminated food contact surfaces during a shift",242)+K245/(J245+K245)</f>
        <v>0.00266192070916144</v>
      </c>
      <c r="M245" s="2">
        <f>IF(J245&lt;1,0,_XLL.RISKBINOMIAL(ROUND(J245,0),N245))</f>
        <v>0</v>
      </c>
      <c r="N245" s="11">
        <f t="shared" si="53"/>
        <v>1.3308466217609727E-05</v>
      </c>
      <c r="O245" s="2">
        <f t="shared" si="54"/>
        <v>68</v>
      </c>
      <c r="P245" s="2">
        <f t="shared" si="55"/>
        <v>0</v>
      </c>
      <c r="Q245" s="10">
        <f>_XLL.RISKOUTPUT(,"Contaminated gloves during a shift",242)+P245/(O245+P245)</f>
        <v>0</v>
      </c>
      <c r="R245" s="2">
        <f>IF(O245&lt;1,0,_XLL.RISKBINOMIAL(ROUND(O245,0),S245))</f>
        <v>0</v>
      </c>
      <c r="S245" s="11">
        <f t="shared" si="47"/>
        <v>0.0002337817386286467</v>
      </c>
      <c r="U245" s="2">
        <f t="shared" si="42"/>
        <v>102</v>
      </c>
      <c r="V245" s="2">
        <f t="shared" si="43"/>
        <v>1224</v>
      </c>
      <c r="W245" s="2">
        <f t="shared" si="44"/>
        <v>68</v>
      </c>
    </row>
    <row r="246" spans="1:23" ht="12.75">
      <c r="A246">
        <v>1</v>
      </c>
      <c r="B246">
        <v>242</v>
      </c>
      <c r="C246" s="2">
        <f t="shared" si="48"/>
        <v>100.61538461538461</v>
      </c>
      <c r="D246" s="2">
        <f t="shared" si="49"/>
        <v>1.3846153846153846</v>
      </c>
      <c r="E246" s="2">
        <f t="shared" si="50"/>
        <v>10.061538461538461</v>
      </c>
      <c r="F246" s="2">
        <f t="shared" si="51"/>
        <v>0.13846153846153847</v>
      </c>
      <c r="G246" s="9">
        <f>_XLL.RISKOUTPUT(,"Contaminated food products during a shift",243)+D246/(C246+D246)</f>
        <v>0.013574660633484163</v>
      </c>
      <c r="H246" s="2">
        <f>IF(C246&lt;1,0,_XLL.RISKBINOMIAL(ROUND(C246,0),I246))</f>
        <v>0</v>
      </c>
      <c r="I246" s="8">
        <f t="shared" si="52"/>
        <v>5.569062148913506E-05</v>
      </c>
      <c r="J246" s="2">
        <f t="shared" si="45"/>
        <v>1220.7418090519864</v>
      </c>
      <c r="K246" s="2">
        <f t="shared" si="46"/>
        <v>3.2581909480136027</v>
      </c>
      <c r="L246" s="10">
        <f>_XLL.RISKOUTPUT(,"Contaminated food contact surfaces during a shift",243)+K246/(J246+K246)</f>
        <v>0.00266192070916144</v>
      </c>
      <c r="M246" s="2">
        <f>IF(J246&lt;1,0,_XLL.RISKBINOMIAL(ROUND(J246,0),N246))</f>
        <v>0</v>
      </c>
      <c r="N246" s="11">
        <f t="shared" si="53"/>
        <v>1.3308466217609727E-05</v>
      </c>
      <c r="O246" s="2">
        <f t="shared" si="54"/>
        <v>68</v>
      </c>
      <c r="P246" s="2">
        <f t="shared" si="55"/>
        <v>0</v>
      </c>
      <c r="Q246" s="10">
        <f>_XLL.RISKOUTPUT(,"Contaminated gloves during a shift",243)+P246/(O246+P246)</f>
        <v>0</v>
      </c>
      <c r="R246" s="2">
        <f>IF(O246&lt;1,0,_XLL.RISKBINOMIAL(ROUND(O246,0),S246))</f>
        <v>0</v>
      </c>
      <c r="S246" s="11">
        <f t="shared" si="47"/>
        <v>0.0002337817386286467</v>
      </c>
      <c r="U246" s="2">
        <f t="shared" si="42"/>
        <v>102</v>
      </c>
      <c r="V246" s="2">
        <f t="shared" si="43"/>
        <v>1224</v>
      </c>
      <c r="W246" s="2">
        <f t="shared" si="44"/>
        <v>68</v>
      </c>
    </row>
    <row r="247" spans="1:23" ht="12.75">
      <c r="A247">
        <v>1</v>
      </c>
      <c r="B247">
        <v>243</v>
      </c>
      <c r="C247" s="2">
        <f t="shared" si="48"/>
        <v>100.61538461538461</v>
      </c>
      <c r="D247" s="2">
        <f t="shared" si="49"/>
        <v>1.3846153846153846</v>
      </c>
      <c r="E247" s="2">
        <f t="shared" si="50"/>
        <v>10.061538461538461</v>
      </c>
      <c r="F247" s="2">
        <f t="shared" si="51"/>
        <v>0.13846153846153847</v>
      </c>
      <c r="G247" s="9">
        <f>_XLL.RISKOUTPUT(,"Contaminated food products during a shift",244)+D247/(C247+D247)</f>
        <v>0.013574660633484163</v>
      </c>
      <c r="H247" s="2">
        <f>IF(C247&lt;1,0,_XLL.RISKBINOMIAL(ROUND(C247,0),I247))</f>
        <v>0</v>
      </c>
      <c r="I247" s="8">
        <f t="shared" si="52"/>
        <v>5.569062148913506E-05</v>
      </c>
      <c r="J247" s="2">
        <f t="shared" si="45"/>
        <v>1220.7418090519864</v>
      </c>
      <c r="K247" s="2">
        <f t="shared" si="46"/>
        <v>3.2581909480136027</v>
      </c>
      <c r="L247" s="10">
        <f>_XLL.RISKOUTPUT(,"Contaminated food contact surfaces during a shift",244)+K247/(J247+K247)</f>
        <v>0.00266192070916144</v>
      </c>
      <c r="M247" s="2">
        <f>IF(J247&lt;1,0,_XLL.RISKBINOMIAL(ROUND(J247,0),N247))</f>
        <v>0</v>
      </c>
      <c r="N247" s="11">
        <f t="shared" si="53"/>
        <v>1.3308466217609727E-05</v>
      </c>
      <c r="O247" s="2">
        <f t="shared" si="54"/>
        <v>68</v>
      </c>
      <c r="P247" s="2">
        <f t="shared" si="55"/>
        <v>0</v>
      </c>
      <c r="Q247" s="10">
        <f>_XLL.RISKOUTPUT(,"Contaminated gloves during a shift",244)+P247/(O247+P247)</f>
        <v>0</v>
      </c>
      <c r="R247" s="2">
        <f>IF(O247&lt;1,0,_XLL.RISKBINOMIAL(ROUND(O247,0),S247))</f>
        <v>0</v>
      </c>
      <c r="S247" s="11">
        <f t="shared" si="47"/>
        <v>0.0002337817386286467</v>
      </c>
      <c r="U247" s="2">
        <f t="shared" si="42"/>
        <v>102</v>
      </c>
      <c r="V247" s="2">
        <f t="shared" si="43"/>
        <v>1224</v>
      </c>
      <c r="W247" s="2">
        <f t="shared" si="44"/>
        <v>68</v>
      </c>
    </row>
    <row r="248" spans="1:23" ht="12.75">
      <c r="A248">
        <v>1</v>
      </c>
      <c r="B248">
        <v>244</v>
      </c>
      <c r="C248" s="2">
        <f t="shared" si="48"/>
        <v>100.61538461538461</v>
      </c>
      <c r="D248" s="2">
        <f t="shared" si="49"/>
        <v>1.3846153846153846</v>
      </c>
      <c r="E248" s="2">
        <f t="shared" si="50"/>
        <v>10.061538461538461</v>
      </c>
      <c r="F248" s="2">
        <f t="shared" si="51"/>
        <v>0.13846153846153847</v>
      </c>
      <c r="G248" s="9">
        <f>_XLL.RISKOUTPUT(,"Contaminated food products during a shift",245)+D248/(C248+D248)</f>
        <v>0.013574660633484163</v>
      </c>
      <c r="H248" s="2">
        <f>IF(C248&lt;1,0,_XLL.RISKBINOMIAL(ROUND(C248,0),I248))</f>
        <v>0</v>
      </c>
      <c r="I248" s="8">
        <f t="shared" si="52"/>
        <v>5.569062148913506E-05</v>
      </c>
      <c r="J248" s="2">
        <f t="shared" si="45"/>
        <v>1220.7418090519864</v>
      </c>
      <c r="K248" s="2">
        <f t="shared" si="46"/>
        <v>3.2581909480136027</v>
      </c>
      <c r="L248" s="10">
        <f>_XLL.RISKOUTPUT(,"Contaminated food contact surfaces during a shift",245)+K248/(J248+K248)</f>
        <v>0.00266192070916144</v>
      </c>
      <c r="M248" s="2">
        <f>IF(J248&lt;1,0,_XLL.RISKBINOMIAL(ROUND(J248,0),N248))</f>
        <v>0</v>
      </c>
      <c r="N248" s="11">
        <f t="shared" si="53"/>
        <v>1.3308466217609727E-05</v>
      </c>
      <c r="O248" s="2">
        <f t="shared" si="54"/>
        <v>68</v>
      </c>
      <c r="P248" s="2">
        <f t="shared" si="55"/>
        <v>0</v>
      </c>
      <c r="Q248" s="10">
        <f>_XLL.RISKOUTPUT(,"Contaminated gloves during a shift",245)+P248/(O248+P248)</f>
        <v>0</v>
      </c>
      <c r="R248" s="2">
        <f>IF(O248&lt;1,0,_XLL.RISKBINOMIAL(ROUND(O248,0),S248))</f>
        <v>0</v>
      </c>
      <c r="S248" s="11">
        <f t="shared" si="47"/>
        <v>0.0002337817386286467</v>
      </c>
      <c r="U248" s="2">
        <f t="shared" si="42"/>
        <v>102</v>
      </c>
      <c r="V248" s="2">
        <f t="shared" si="43"/>
        <v>1224</v>
      </c>
      <c r="W248" s="2">
        <f t="shared" si="44"/>
        <v>68</v>
      </c>
    </row>
    <row r="249" spans="1:23" ht="12.75">
      <c r="A249">
        <v>1</v>
      </c>
      <c r="B249">
        <v>245</v>
      </c>
      <c r="C249" s="2">
        <f t="shared" si="48"/>
        <v>100.61538461538461</v>
      </c>
      <c r="D249" s="2">
        <f t="shared" si="49"/>
        <v>1.3846153846153846</v>
      </c>
      <c r="E249" s="2">
        <f t="shared" si="50"/>
        <v>10.061538461538461</v>
      </c>
      <c r="F249" s="2">
        <f t="shared" si="51"/>
        <v>0.13846153846153847</v>
      </c>
      <c r="G249" s="9">
        <f>_XLL.RISKOUTPUT(,"Contaminated food products during a shift",246)+D249/(C249+D249)</f>
        <v>0.013574660633484163</v>
      </c>
      <c r="H249" s="2">
        <f>IF(C249&lt;1,0,_XLL.RISKBINOMIAL(ROUND(C249,0),I249))</f>
        <v>0</v>
      </c>
      <c r="I249" s="8">
        <f t="shared" si="52"/>
        <v>5.569062148913506E-05</v>
      </c>
      <c r="J249" s="2">
        <f t="shared" si="45"/>
        <v>1220.7418090519864</v>
      </c>
      <c r="K249" s="2">
        <f t="shared" si="46"/>
        <v>3.2581909480136027</v>
      </c>
      <c r="L249" s="10">
        <f>_XLL.RISKOUTPUT(,"Contaminated food contact surfaces during a shift",246)+K249/(J249+K249)</f>
        <v>0.00266192070916144</v>
      </c>
      <c r="M249" s="2">
        <f>IF(J249&lt;1,0,_XLL.RISKBINOMIAL(ROUND(J249,0),N249))</f>
        <v>0</v>
      </c>
      <c r="N249" s="11">
        <f t="shared" si="53"/>
        <v>1.3308466217609727E-05</v>
      </c>
      <c r="O249" s="2">
        <f t="shared" si="54"/>
        <v>68</v>
      </c>
      <c r="P249" s="2">
        <f t="shared" si="55"/>
        <v>0</v>
      </c>
      <c r="Q249" s="10">
        <f>_XLL.RISKOUTPUT(,"Contaminated gloves during a shift",246)+P249/(O249+P249)</f>
        <v>0</v>
      </c>
      <c r="R249" s="2">
        <f>IF(O249&lt;1,0,_XLL.RISKBINOMIAL(ROUND(O249,0),S249))</f>
        <v>0</v>
      </c>
      <c r="S249" s="11">
        <f t="shared" si="47"/>
        <v>0.0002337817386286467</v>
      </c>
      <c r="U249" s="2">
        <f t="shared" si="42"/>
        <v>102</v>
      </c>
      <c r="V249" s="2">
        <f t="shared" si="43"/>
        <v>1224</v>
      </c>
      <c r="W249" s="2">
        <f t="shared" si="44"/>
        <v>68</v>
      </c>
    </row>
    <row r="250" spans="1:23" ht="12.75">
      <c r="A250">
        <v>1</v>
      </c>
      <c r="B250">
        <v>246</v>
      </c>
      <c r="C250" s="2">
        <f t="shared" si="48"/>
        <v>100.61538461538461</v>
      </c>
      <c r="D250" s="2">
        <f t="shared" si="49"/>
        <v>1.3846153846153846</v>
      </c>
      <c r="E250" s="2">
        <f t="shared" si="50"/>
        <v>10.061538461538461</v>
      </c>
      <c r="F250" s="2">
        <f t="shared" si="51"/>
        <v>0.13846153846153847</v>
      </c>
      <c r="G250" s="9">
        <f>_XLL.RISKOUTPUT(,"Contaminated food products during a shift",247)+D250/(C250+D250)</f>
        <v>0.013574660633484163</v>
      </c>
      <c r="H250" s="2">
        <f>IF(C250&lt;1,0,_XLL.RISKBINOMIAL(ROUND(C250,0),I250))</f>
        <v>0</v>
      </c>
      <c r="I250" s="8">
        <f t="shared" si="52"/>
        <v>5.569062148913506E-05</v>
      </c>
      <c r="J250" s="2">
        <f t="shared" si="45"/>
        <v>1220.7418090519864</v>
      </c>
      <c r="K250" s="2">
        <f t="shared" si="46"/>
        <v>3.2581909480136027</v>
      </c>
      <c r="L250" s="10">
        <f>_XLL.RISKOUTPUT(,"Contaminated food contact surfaces during a shift",247)+K250/(J250+K250)</f>
        <v>0.00266192070916144</v>
      </c>
      <c r="M250" s="2">
        <f>IF(J250&lt;1,0,_XLL.RISKBINOMIAL(ROUND(J250,0),N250))</f>
        <v>0</v>
      </c>
      <c r="N250" s="11">
        <f t="shared" si="53"/>
        <v>1.3308466217609727E-05</v>
      </c>
      <c r="O250" s="2">
        <f t="shared" si="54"/>
        <v>68</v>
      </c>
      <c r="P250" s="2">
        <f t="shared" si="55"/>
        <v>0</v>
      </c>
      <c r="Q250" s="10">
        <f>_XLL.RISKOUTPUT(,"Contaminated gloves during a shift",247)+P250/(O250+P250)</f>
        <v>0</v>
      </c>
      <c r="R250" s="2">
        <f>IF(O250&lt;1,0,_XLL.RISKBINOMIAL(ROUND(O250,0),S250))</f>
        <v>0</v>
      </c>
      <c r="S250" s="11">
        <f t="shared" si="47"/>
        <v>0.0002337817386286467</v>
      </c>
      <c r="U250" s="2">
        <f t="shared" si="42"/>
        <v>102</v>
      </c>
      <c r="V250" s="2">
        <f t="shared" si="43"/>
        <v>1224</v>
      </c>
      <c r="W250" s="2">
        <f t="shared" si="44"/>
        <v>68</v>
      </c>
    </row>
    <row r="251" spans="1:23" ht="12.75">
      <c r="A251">
        <v>1</v>
      </c>
      <c r="B251">
        <v>247</v>
      </c>
      <c r="C251" s="2">
        <f t="shared" si="48"/>
        <v>100.61538461538461</v>
      </c>
      <c r="D251" s="2">
        <f t="shared" si="49"/>
        <v>1.3846153846153846</v>
      </c>
      <c r="E251" s="2">
        <f t="shared" si="50"/>
        <v>10.061538461538461</v>
      </c>
      <c r="F251" s="2">
        <f t="shared" si="51"/>
        <v>0.13846153846153847</v>
      </c>
      <c r="G251" s="9">
        <f>_XLL.RISKOUTPUT(,"Contaminated food products during a shift",248)+D251/(C251+D251)</f>
        <v>0.013574660633484163</v>
      </c>
      <c r="H251" s="2">
        <f>IF(C251&lt;1,0,_XLL.RISKBINOMIAL(ROUND(C251,0),I251))</f>
        <v>0</v>
      </c>
      <c r="I251" s="8">
        <f t="shared" si="52"/>
        <v>5.569062148913506E-05</v>
      </c>
      <c r="J251" s="2">
        <f t="shared" si="45"/>
        <v>1220.7418090519864</v>
      </c>
      <c r="K251" s="2">
        <f t="shared" si="46"/>
        <v>3.2581909480136027</v>
      </c>
      <c r="L251" s="10">
        <f>_XLL.RISKOUTPUT(,"Contaminated food contact surfaces during a shift",248)+K251/(J251+K251)</f>
        <v>0.00266192070916144</v>
      </c>
      <c r="M251" s="2">
        <f>IF(J251&lt;1,0,_XLL.RISKBINOMIAL(ROUND(J251,0),N251))</f>
        <v>0</v>
      </c>
      <c r="N251" s="11">
        <f t="shared" si="53"/>
        <v>1.3308466217609727E-05</v>
      </c>
      <c r="O251" s="2">
        <f t="shared" si="54"/>
        <v>68</v>
      </c>
      <c r="P251" s="2">
        <f t="shared" si="55"/>
        <v>0</v>
      </c>
      <c r="Q251" s="10">
        <f>_XLL.RISKOUTPUT(,"Contaminated gloves during a shift",248)+P251/(O251+P251)</f>
        <v>0</v>
      </c>
      <c r="R251" s="2">
        <f>IF(O251&lt;1,0,_XLL.RISKBINOMIAL(ROUND(O251,0),S251))</f>
        <v>0</v>
      </c>
      <c r="S251" s="11">
        <f t="shared" si="47"/>
        <v>0.0002337817386286467</v>
      </c>
      <c r="U251" s="2">
        <f t="shared" si="42"/>
        <v>102</v>
      </c>
      <c r="V251" s="2">
        <f t="shared" si="43"/>
        <v>1224</v>
      </c>
      <c r="W251" s="2">
        <f t="shared" si="44"/>
        <v>68</v>
      </c>
    </row>
    <row r="252" spans="1:23" ht="12.75">
      <c r="A252">
        <v>1</v>
      </c>
      <c r="B252">
        <v>248</v>
      </c>
      <c r="C252" s="2">
        <f t="shared" si="48"/>
        <v>100.61538461538461</v>
      </c>
      <c r="D252" s="2">
        <f t="shared" si="49"/>
        <v>1.3846153846153846</v>
      </c>
      <c r="E252" s="2">
        <f t="shared" si="50"/>
        <v>10.061538461538461</v>
      </c>
      <c r="F252" s="2">
        <f t="shared" si="51"/>
        <v>0.13846153846153847</v>
      </c>
      <c r="G252" s="9">
        <f>_XLL.RISKOUTPUT(,"Contaminated food products during a shift",249)+D252/(C252+D252)</f>
        <v>0.013574660633484163</v>
      </c>
      <c r="H252" s="2">
        <f>IF(C252&lt;1,0,_XLL.RISKBINOMIAL(ROUND(C252,0),I252))</f>
        <v>0</v>
      </c>
      <c r="I252" s="8">
        <f t="shared" si="52"/>
        <v>5.569062148913506E-05</v>
      </c>
      <c r="J252" s="2">
        <f t="shared" si="45"/>
        <v>1220.7418090519864</v>
      </c>
      <c r="K252" s="2">
        <f t="shared" si="46"/>
        <v>3.2581909480136027</v>
      </c>
      <c r="L252" s="10">
        <f>_XLL.RISKOUTPUT(,"Contaminated food contact surfaces during a shift",249)+K252/(J252+K252)</f>
        <v>0.00266192070916144</v>
      </c>
      <c r="M252" s="2">
        <f>IF(J252&lt;1,0,_XLL.RISKBINOMIAL(ROUND(J252,0),N252))</f>
        <v>0</v>
      </c>
      <c r="N252" s="11">
        <f t="shared" si="53"/>
        <v>1.3308466217609727E-05</v>
      </c>
      <c r="O252" s="2">
        <f t="shared" si="54"/>
        <v>68</v>
      </c>
      <c r="P252" s="2">
        <f t="shared" si="55"/>
        <v>0</v>
      </c>
      <c r="Q252" s="10">
        <f>_XLL.RISKOUTPUT(,"Contaminated gloves during a shift",249)+P252/(O252+P252)</f>
        <v>0</v>
      </c>
      <c r="R252" s="2">
        <f>IF(O252&lt;1,0,_XLL.RISKBINOMIAL(ROUND(O252,0),S252))</f>
        <v>0</v>
      </c>
      <c r="S252" s="11">
        <f t="shared" si="47"/>
        <v>0.0002337817386286467</v>
      </c>
      <c r="U252" s="2">
        <f t="shared" si="42"/>
        <v>102</v>
      </c>
      <c r="V252" s="2">
        <f t="shared" si="43"/>
        <v>1224</v>
      </c>
      <c r="W252" s="2">
        <f t="shared" si="44"/>
        <v>68</v>
      </c>
    </row>
    <row r="253" spans="1:23" ht="12.75">
      <c r="A253">
        <v>1</v>
      </c>
      <c r="B253">
        <v>249</v>
      </c>
      <c r="C253" s="2">
        <f t="shared" si="48"/>
        <v>100.61538461538461</v>
      </c>
      <c r="D253" s="2">
        <f t="shared" si="49"/>
        <v>1.3846153846153846</v>
      </c>
      <c r="E253" s="2">
        <f t="shared" si="50"/>
        <v>10.061538461538461</v>
      </c>
      <c r="F253" s="2">
        <f t="shared" si="51"/>
        <v>0.13846153846153847</v>
      </c>
      <c r="G253" s="9">
        <f>_XLL.RISKOUTPUT(,"Contaminated food products during a shift",250)+D253/(C253+D253)</f>
        <v>0.013574660633484163</v>
      </c>
      <c r="H253" s="2">
        <f>IF(C253&lt;1,0,_XLL.RISKBINOMIAL(ROUND(C253,0),I253))</f>
        <v>0</v>
      </c>
      <c r="I253" s="8">
        <f t="shared" si="52"/>
        <v>5.569062148913506E-05</v>
      </c>
      <c r="J253" s="2">
        <f t="shared" si="45"/>
        <v>1220.7418090519864</v>
      </c>
      <c r="K253" s="2">
        <f t="shared" si="46"/>
        <v>3.2581909480136027</v>
      </c>
      <c r="L253" s="10">
        <f>_XLL.RISKOUTPUT(,"Contaminated food contact surfaces during a shift",250)+K253/(J253+K253)</f>
        <v>0.00266192070916144</v>
      </c>
      <c r="M253" s="2">
        <f>IF(J253&lt;1,0,_XLL.RISKBINOMIAL(ROUND(J253,0),N253))</f>
        <v>0</v>
      </c>
      <c r="N253" s="11">
        <f t="shared" si="53"/>
        <v>1.3308466217609727E-05</v>
      </c>
      <c r="O253" s="2">
        <f t="shared" si="54"/>
        <v>68</v>
      </c>
      <c r="P253" s="2">
        <f t="shared" si="55"/>
        <v>0</v>
      </c>
      <c r="Q253" s="10">
        <f>_XLL.RISKOUTPUT(,"Contaminated gloves during a shift",250)+P253/(O253+P253)</f>
        <v>0</v>
      </c>
      <c r="R253" s="2">
        <f>IF(O253&lt;1,0,_XLL.RISKBINOMIAL(ROUND(O253,0),S253))</f>
        <v>0</v>
      </c>
      <c r="S253" s="11">
        <f t="shared" si="47"/>
        <v>0.0002337817386286467</v>
      </c>
      <c r="U253" s="2">
        <f t="shared" si="42"/>
        <v>102</v>
      </c>
      <c r="V253" s="2">
        <f t="shared" si="43"/>
        <v>1224</v>
      </c>
      <c r="W253" s="2">
        <f t="shared" si="44"/>
        <v>68</v>
      </c>
    </row>
    <row r="254" spans="1:23" ht="12.75">
      <c r="A254">
        <v>1</v>
      </c>
      <c r="B254">
        <v>250</v>
      </c>
      <c r="C254" s="2">
        <f t="shared" si="48"/>
        <v>100.61538461538461</v>
      </c>
      <c r="D254" s="2">
        <f t="shared" si="49"/>
        <v>1.3846153846153846</v>
      </c>
      <c r="E254" s="2">
        <f t="shared" si="50"/>
        <v>10.061538461538461</v>
      </c>
      <c r="F254" s="2">
        <f t="shared" si="51"/>
        <v>0.13846153846153847</v>
      </c>
      <c r="G254" s="9">
        <f>_XLL.RISKOUTPUT(,"Contaminated food products during a shift",251)+D254/(C254+D254)</f>
        <v>0.013574660633484163</v>
      </c>
      <c r="H254" s="2">
        <f>IF(C254&lt;1,0,_XLL.RISKBINOMIAL(ROUND(C254,0),I254))</f>
        <v>0</v>
      </c>
      <c r="I254" s="8">
        <f t="shared" si="52"/>
        <v>5.569062148913506E-05</v>
      </c>
      <c r="J254" s="2">
        <f t="shared" si="45"/>
        <v>1220.7418090519864</v>
      </c>
      <c r="K254" s="2">
        <f t="shared" si="46"/>
        <v>3.2581909480136027</v>
      </c>
      <c r="L254" s="10">
        <f>_XLL.RISKOUTPUT(,"Contaminated food contact surfaces during a shift",251)+K254/(J254+K254)</f>
        <v>0.00266192070916144</v>
      </c>
      <c r="M254" s="2">
        <f>IF(J254&lt;1,0,_XLL.RISKBINOMIAL(ROUND(J254,0),N254))</f>
        <v>0</v>
      </c>
      <c r="N254" s="11">
        <f t="shared" si="53"/>
        <v>1.3308466217609727E-05</v>
      </c>
      <c r="O254" s="2">
        <f t="shared" si="54"/>
        <v>68</v>
      </c>
      <c r="P254" s="2">
        <f t="shared" si="55"/>
        <v>0</v>
      </c>
      <c r="Q254" s="10">
        <f>_XLL.RISKOUTPUT(,"Contaminated gloves during a shift",251)+P254/(O254+P254)</f>
        <v>0</v>
      </c>
      <c r="R254" s="2">
        <f>IF(O254&lt;1,0,_XLL.RISKBINOMIAL(ROUND(O254,0),S254))</f>
        <v>0</v>
      </c>
      <c r="S254" s="11">
        <f t="shared" si="47"/>
        <v>0.0002337817386286467</v>
      </c>
      <c r="U254" s="2">
        <f t="shared" si="42"/>
        <v>102</v>
      </c>
      <c r="V254" s="2">
        <f t="shared" si="43"/>
        <v>1224</v>
      </c>
      <c r="W254" s="2">
        <f t="shared" si="44"/>
        <v>68</v>
      </c>
    </row>
    <row r="255" spans="1:23" ht="12.75">
      <c r="A255">
        <v>1</v>
      </c>
      <c r="B255">
        <v>251</v>
      </c>
      <c r="C255" s="2">
        <f t="shared" si="48"/>
        <v>100.61538461538461</v>
      </c>
      <c r="D255" s="2">
        <f t="shared" si="49"/>
        <v>1.3846153846153846</v>
      </c>
      <c r="E255" s="2">
        <f t="shared" si="50"/>
        <v>10.061538461538461</v>
      </c>
      <c r="F255" s="2">
        <f t="shared" si="51"/>
        <v>0.13846153846153847</v>
      </c>
      <c r="G255" s="9">
        <f>_XLL.RISKOUTPUT(,"Contaminated food products during a shift",252)+D255/(C255+D255)</f>
        <v>0.013574660633484163</v>
      </c>
      <c r="H255" s="2">
        <f>IF(C255&lt;1,0,_XLL.RISKBINOMIAL(ROUND(C255,0),I255))</f>
        <v>0</v>
      </c>
      <c r="I255" s="8">
        <f t="shared" si="52"/>
        <v>5.569062148913506E-05</v>
      </c>
      <c r="J255" s="2">
        <f t="shared" si="45"/>
        <v>1220.7418090519864</v>
      </c>
      <c r="K255" s="2">
        <f t="shared" si="46"/>
        <v>3.2581909480136027</v>
      </c>
      <c r="L255" s="10">
        <f>_XLL.RISKOUTPUT(,"Contaminated food contact surfaces during a shift",252)+K255/(J255+K255)</f>
        <v>0.00266192070916144</v>
      </c>
      <c r="M255" s="2">
        <f>IF(J255&lt;1,0,_XLL.RISKBINOMIAL(ROUND(J255,0),N255))</f>
        <v>0</v>
      </c>
      <c r="N255" s="11">
        <f t="shared" si="53"/>
        <v>1.3308466217609727E-05</v>
      </c>
      <c r="O255" s="2">
        <f t="shared" si="54"/>
        <v>68</v>
      </c>
      <c r="P255" s="2">
        <f t="shared" si="55"/>
        <v>0</v>
      </c>
      <c r="Q255" s="10">
        <f>_XLL.RISKOUTPUT(,"Contaminated gloves during a shift",252)+P255/(O255+P255)</f>
        <v>0</v>
      </c>
      <c r="R255" s="2">
        <f>IF(O255&lt;1,0,_XLL.RISKBINOMIAL(ROUND(O255,0),S255))</f>
        <v>0</v>
      </c>
      <c r="S255" s="11">
        <f t="shared" si="47"/>
        <v>0.0002337817386286467</v>
      </c>
      <c r="U255" s="2">
        <f t="shared" si="42"/>
        <v>102</v>
      </c>
      <c r="V255" s="2">
        <f t="shared" si="43"/>
        <v>1224</v>
      </c>
      <c r="W255" s="2">
        <f t="shared" si="44"/>
        <v>68</v>
      </c>
    </row>
    <row r="256" spans="1:23" ht="12.75">
      <c r="A256">
        <v>1</v>
      </c>
      <c r="B256">
        <v>252</v>
      </c>
      <c r="C256" s="2">
        <f t="shared" si="48"/>
        <v>100.61538461538461</v>
      </c>
      <c r="D256" s="2">
        <f t="shared" si="49"/>
        <v>1.3846153846153846</v>
      </c>
      <c r="E256" s="2">
        <f t="shared" si="50"/>
        <v>10.061538461538461</v>
      </c>
      <c r="F256" s="2">
        <f t="shared" si="51"/>
        <v>0.13846153846153847</v>
      </c>
      <c r="G256" s="9">
        <f>_XLL.RISKOUTPUT(,"Contaminated food products during a shift",253)+D256/(C256+D256)</f>
        <v>0.013574660633484163</v>
      </c>
      <c r="H256" s="2">
        <f>IF(C256&lt;1,0,_XLL.RISKBINOMIAL(ROUND(C256,0),I256))</f>
        <v>0</v>
      </c>
      <c r="I256" s="8">
        <f t="shared" si="52"/>
        <v>5.569062148913506E-05</v>
      </c>
      <c r="J256" s="2">
        <f t="shared" si="45"/>
        <v>1220.7418090519864</v>
      </c>
      <c r="K256" s="2">
        <f t="shared" si="46"/>
        <v>3.2581909480136027</v>
      </c>
      <c r="L256" s="10">
        <f>_XLL.RISKOUTPUT(,"Contaminated food contact surfaces during a shift",253)+K256/(J256+K256)</f>
        <v>0.00266192070916144</v>
      </c>
      <c r="M256" s="2">
        <f>IF(J256&lt;1,0,_XLL.RISKBINOMIAL(ROUND(J256,0),N256))</f>
        <v>0</v>
      </c>
      <c r="N256" s="11">
        <f t="shared" si="53"/>
        <v>1.3308466217609727E-05</v>
      </c>
      <c r="O256" s="2">
        <f t="shared" si="54"/>
        <v>68</v>
      </c>
      <c r="P256" s="2">
        <f t="shared" si="55"/>
        <v>0</v>
      </c>
      <c r="Q256" s="10">
        <f>_XLL.RISKOUTPUT(,"Contaminated gloves during a shift",253)+P256/(O256+P256)</f>
        <v>0</v>
      </c>
      <c r="R256" s="2">
        <f>IF(O256&lt;1,0,_XLL.RISKBINOMIAL(ROUND(O256,0),S256))</f>
        <v>0</v>
      </c>
      <c r="S256" s="11">
        <f t="shared" si="47"/>
        <v>0.0002337817386286467</v>
      </c>
      <c r="U256" s="2">
        <f t="shared" si="42"/>
        <v>102</v>
      </c>
      <c r="V256" s="2">
        <f t="shared" si="43"/>
        <v>1224</v>
      </c>
      <c r="W256" s="2">
        <f t="shared" si="44"/>
        <v>68</v>
      </c>
    </row>
    <row r="257" spans="1:23" ht="12.75">
      <c r="A257">
        <v>1</v>
      </c>
      <c r="B257">
        <v>253</v>
      </c>
      <c r="C257" s="2">
        <f t="shared" si="48"/>
        <v>100.61538461538461</v>
      </c>
      <c r="D257" s="2">
        <f t="shared" si="49"/>
        <v>1.3846153846153846</v>
      </c>
      <c r="E257" s="2">
        <f t="shared" si="50"/>
        <v>10.061538461538461</v>
      </c>
      <c r="F257" s="2">
        <f t="shared" si="51"/>
        <v>0.13846153846153847</v>
      </c>
      <c r="G257" s="9">
        <f>_XLL.RISKOUTPUT(,"Contaminated food products during a shift",254)+D257/(C257+D257)</f>
        <v>0.013574660633484163</v>
      </c>
      <c r="H257" s="2">
        <f>IF(C257&lt;1,0,_XLL.RISKBINOMIAL(ROUND(C257,0),I257))</f>
        <v>0</v>
      </c>
      <c r="I257" s="8">
        <f t="shared" si="52"/>
        <v>5.569062148913506E-05</v>
      </c>
      <c r="J257" s="2">
        <f t="shared" si="45"/>
        <v>1220.7418090519864</v>
      </c>
      <c r="K257" s="2">
        <f t="shared" si="46"/>
        <v>3.2581909480136027</v>
      </c>
      <c r="L257" s="10">
        <f>_XLL.RISKOUTPUT(,"Contaminated food contact surfaces during a shift",254)+K257/(J257+K257)</f>
        <v>0.00266192070916144</v>
      </c>
      <c r="M257" s="2">
        <f>IF(J257&lt;1,0,_XLL.RISKBINOMIAL(ROUND(J257,0),N257))</f>
        <v>0</v>
      </c>
      <c r="N257" s="11">
        <f t="shared" si="53"/>
        <v>1.3308466217609727E-05</v>
      </c>
      <c r="O257" s="2">
        <f t="shared" si="54"/>
        <v>68</v>
      </c>
      <c r="P257" s="2">
        <f t="shared" si="55"/>
        <v>0</v>
      </c>
      <c r="Q257" s="10">
        <f>_XLL.RISKOUTPUT(,"Contaminated gloves during a shift",254)+P257/(O257+P257)</f>
        <v>0</v>
      </c>
      <c r="R257" s="2">
        <f>IF(O257&lt;1,0,_XLL.RISKBINOMIAL(ROUND(O257,0),S257))</f>
        <v>0</v>
      </c>
      <c r="S257" s="11">
        <f t="shared" si="47"/>
        <v>0.0002337817386286467</v>
      </c>
      <c r="U257" s="2">
        <f t="shared" si="42"/>
        <v>102</v>
      </c>
      <c r="V257" s="2">
        <f t="shared" si="43"/>
        <v>1224</v>
      </c>
      <c r="W257" s="2">
        <f t="shared" si="44"/>
        <v>68</v>
      </c>
    </row>
    <row r="258" spans="1:23" ht="12.75">
      <c r="A258">
        <v>1</v>
      </c>
      <c r="B258">
        <v>254</v>
      </c>
      <c r="C258" s="2">
        <f t="shared" si="48"/>
        <v>100.61538461538461</v>
      </c>
      <c r="D258" s="2">
        <f t="shared" si="49"/>
        <v>1.3846153846153846</v>
      </c>
      <c r="E258" s="2">
        <f t="shared" si="50"/>
        <v>10.061538461538461</v>
      </c>
      <c r="F258" s="2">
        <f t="shared" si="51"/>
        <v>0.13846153846153847</v>
      </c>
      <c r="G258" s="9">
        <f>_XLL.RISKOUTPUT(,"Contaminated food products during a shift",255)+D258/(C258+D258)</f>
        <v>0.013574660633484163</v>
      </c>
      <c r="H258" s="2">
        <f>IF(C258&lt;1,0,_XLL.RISKBINOMIAL(ROUND(C258,0),I258))</f>
        <v>0</v>
      </c>
      <c r="I258" s="8">
        <f t="shared" si="52"/>
        <v>5.569062148913506E-05</v>
      </c>
      <c r="J258" s="2">
        <f t="shared" si="45"/>
        <v>1220.7418090519864</v>
      </c>
      <c r="K258" s="2">
        <f t="shared" si="46"/>
        <v>3.2581909480136027</v>
      </c>
      <c r="L258" s="10">
        <f>_XLL.RISKOUTPUT(,"Contaminated food contact surfaces during a shift",255)+K258/(J258+K258)</f>
        <v>0.00266192070916144</v>
      </c>
      <c r="M258" s="2">
        <f>IF(J258&lt;1,0,_XLL.RISKBINOMIAL(ROUND(J258,0),N258))</f>
        <v>0</v>
      </c>
      <c r="N258" s="11">
        <f t="shared" si="53"/>
        <v>1.3308466217609727E-05</v>
      </c>
      <c r="O258" s="2">
        <f t="shared" si="54"/>
        <v>68</v>
      </c>
      <c r="P258" s="2">
        <f t="shared" si="55"/>
        <v>0</v>
      </c>
      <c r="Q258" s="10">
        <f>_XLL.RISKOUTPUT(,"Contaminated gloves during a shift",255)+P258/(O258+P258)</f>
        <v>0</v>
      </c>
      <c r="R258" s="2">
        <f>IF(O258&lt;1,0,_XLL.RISKBINOMIAL(ROUND(O258,0),S258))</f>
        <v>0</v>
      </c>
      <c r="S258" s="11">
        <f t="shared" si="47"/>
        <v>0.0002337817386286467</v>
      </c>
      <c r="U258" s="2">
        <f t="shared" si="42"/>
        <v>102</v>
      </c>
      <c r="V258" s="2">
        <f t="shared" si="43"/>
        <v>1224</v>
      </c>
      <c r="W258" s="2">
        <f t="shared" si="44"/>
        <v>68</v>
      </c>
    </row>
    <row r="259" spans="1:23" ht="12.75">
      <c r="A259">
        <v>1</v>
      </c>
      <c r="B259">
        <v>255</v>
      </c>
      <c r="C259" s="2">
        <f t="shared" si="48"/>
        <v>100.61538461538461</v>
      </c>
      <c r="D259" s="2">
        <f t="shared" si="49"/>
        <v>1.3846153846153846</v>
      </c>
      <c r="E259" s="2">
        <f t="shared" si="50"/>
        <v>10.061538461538461</v>
      </c>
      <c r="F259" s="2">
        <f t="shared" si="51"/>
        <v>0.13846153846153847</v>
      </c>
      <c r="G259" s="9">
        <f>_XLL.RISKOUTPUT(,"Contaminated food products during a shift",256)+D259/(C259+D259)</f>
        <v>0.013574660633484163</v>
      </c>
      <c r="H259" s="2">
        <f>IF(C259&lt;1,0,_XLL.RISKBINOMIAL(ROUND(C259,0),I259))</f>
        <v>0</v>
      </c>
      <c r="I259" s="8">
        <f t="shared" si="52"/>
        <v>5.569062148913506E-05</v>
      </c>
      <c r="J259" s="2">
        <f t="shared" si="45"/>
        <v>1220.7418090519864</v>
      </c>
      <c r="K259" s="2">
        <f t="shared" si="46"/>
        <v>3.2581909480136027</v>
      </c>
      <c r="L259" s="10">
        <f>_XLL.RISKOUTPUT(,"Contaminated food contact surfaces during a shift",256)+K259/(J259+K259)</f>
        <v>0.00266192070916144</v>
      </c>
      <c r="M259" s="2">
        <f>IF(J259&lt;1,0,_XLL.RISKBINOMIAL(ROUND(J259,0),N259))</f>
        <v>0</v>
      </c>
      <c r="N259" s="11">
        <f t="shared" si="53"/>
        <v>1.3308466217609727E-05</v>
      </c>
      <c r="O259" s="2">
        <f t="shared" si="54"/>
        <v>68</v>
      </c>
      <c r="P259" s="2">
        <f t="shared" si="55"/>
        <v>0</v>
      </c>
      <c r="Q259" s="10">
        <f>_XLL.RISKOUTPUT(,"Contaminated gloves during a shift",256)+P259/(O259+P259)</f>
        <v>0</v>
      </c>
      <c r="R259" s="2">
        <f>IF(O259&lt;1,0,_XLL.RISKBINOMIAL(ROUND(O259,0),S259))</f>
        <v>0</v>
      </c>
      <c r="S259" s="11">
        <f t="shared" si="47"/>
        <v>0.0002337817386286467</v>
      </c>
      <c r="U259" s="2">
        <f t="shared" si="42"/>
        <v>102</v>
      </c>
      <c r="V259" s="2">
        <f t="shared" si="43"/>
        <v>1224</v>
      </c>
      <c r="W259" s="2">
        <f t="shared" si="44"/>
        <v>68</v>
      </c>
    </row>
    <row r="260" spans="1:23" ht="12.75">
      <c r="A260">
        <v>1</v>
      </c>
      <c r="B260">
        <v>256</v>
      </c>
      <c r="C260" s="2">
        <f t="shared" si="48"/>
        <v>100.61538461538461</v>
      </c>
      <c r="D260" s="2">
        <f t="shared" si="49"/>
        <v>1.3846153846153846</v>
      </c>
      <c r="E260" s="2">
        <f t="shared" si="50"/>
        <v>10.061538461538461</v>
      </c>
      <c r="F260" s="2">
        <f t="shared" si="51"/>
        <v>0.13846153846153847</v>
      </c>
      <c r="G260" s="9">
        <f>_XLL.RISKOUTPUT(,"Contaminated food products during a shift",257)+D260/(C260+D260)</f>
        <v>0.013574660633484163</v>
      </c>
      <c r="H260" s="2">
        <f>IF(C260&lt;1,0,_XLL.RISKBINOMIAL(ROUND(C260,0),I260))</f>
        <v>0</v>
      </c>
      <c r="I260" s="8">
        <f t="shared" si="52"/>
        <v>5.569062148913506E-05</v>
      </c>
      <c r="J260" s="2">
        <f t="shared" si="45"/>
        <v>1220.7418090519864</v>
      </c>
      <c r="K260" s="2">
        <f t="shared" si="46"/>
        <v>3.2581909480136027</v>
      </c>
      <c r="L260" s="10">
        <f>_XLL.RISKOUTPUT(,"Contaminated food contact surfaces during a shift",257)+K260/(J260+K260)</f>
        <v>0.00266192070916144</v>
      </c>
      <c r="M260" s="2">
        <f>IF(J260&lt;1,0,_XLL.RISKBINOMIAL(ROUND(J260,0),N260))</f>
        <v>0</v>
      </c>
      <c r="N260" s="11">
        <f t="shared" si="53"/>
        <v>1.3308466217609727E-05</v>
      </c>
      <c r="O260" s="2">
        <f t="shared" si="54"/>
        <v>68</v>
      </c>
      <c r="P260" s="2">
        <f t="shared" si="55"/>
        <v>0</v>
      </c>
      <c r="Q260" s="10">
        <f>_XLL.RISKOUTPUT(,"Contaminated gloves during a shift",257)+P260/(O260+P260)</f>
        <v>0</v>
      </c>
      <c r="R260" s="2">
        <f>IF(O260&lt;1,0,_XLL.RISKBINOMIAL(ROUND(O260,0),S260))</f>
        <v>0</v>
      </c>
      <c r="S260" s="11">
        <f t="shared" si="47"/>
        <v>0.0002337817386286467</v>
      </c>
      <c r="U260" s="2">
        <f aca="true" t="shared" si="56" ref="U260:U323">C260+D260</f>
        <v>102</v>
      </c>
      <c r="V260" s="2">
        <f aca="true" t="shared" si="57" ref="V260:V323">J260+K260</f>
        <v>1224</v>
      </c>
      <c r="W260" s="2">
        <f aca="true" t="shared" si="58" ref="W260:W323">O260+P260</f>
        <v>68</v>
      </c>
    </row>
    <row r="261" spans="1:23" ht="12.75">
      <c r="A261">
        <v>1</v>
      </c>
      <c r="B261">
        <v>257</v>
      </c>
      <c r="C261" s="2">
        <f t="shared" si="48"/>
        <v>100.61538461538461</v>
      </c>
      <c r="D261" s="2">
        <f t="shared" si="49"/>
        <v>1.3846153846153846</v>
      </c>
      <c r="E261" s="2">
        <f t="shared" si="50"/>
        <v>10.061538461538461</v>
      </c>
      <c r="F261" s="2">
        <f t="shared" si="51"/>
        <v>0.13846153846153847</v>
      </c>
      <c r="G261" s="9">
        <f>_XLL.RISKOUTPUT(,"Contaminated food products during a shift",258)+D261/(C261+D261)</f>
        <v>0.013574660633484163</v>
      </c>
      <c r="H261" s="2">
        <f>IF(C261&lt;1,0,_XLL.RISKBINOMIAL(ROUND(C261,0),I261))</f>
        <v>0</v>
      </c>
      <c r="I261" s="8">
        <f t="shared" si="52"/>
        <v>5.569062148913506E-05</v>
      </c>
      <c r="J261" s="2">
        <f aca="true" t="shared" si="59" ref="J261:J324">IF(J260-M260+K260*(1-A261)&lt;0,0,J260-M260+K260*(1-A261))</f>
        <v>1220.7418090519864</v>
      </c>
      <c r="K261" s="2">
        <f aca="true" t="shared" si="60" ref="K261:K324">IF(K260+M260-K260*(1-A261)&lt;0,0,K260+M260-K260*(1-A261))</f>
        <v>3.2581909480136027</v>
      </c>
      <c r="L261" s="10">
        <f>_XLL.RISKOUTPUT(,"Contaminated food contact surfaces during a shift",258)+K261/(J261+K261)</f>
        <v>0.00266192070916144</v>
      </c>
      <c r="M261" s="2">
        <f>IF(J261&lt;1,0,_XLL.RISKBINOMIAL(ROUND(J261,0),N261))</f>
        <v>0</v>
      </c>
      <c r="N261" s="11">
        <f t="shared" si="53"/>
        <v>1.3308466217609727E-05</v>
      </c>
      <c r="O261" s="2">
        <f t="shared" si="54"/>
        <v>68</v>
      </c>
      <c r="P261" s="2">
        <f t="shared" si="55"/>
        <v>0</v>
      </c>
      <c r="Q261" s="10">
        <f>_XLL.RISKOUTPUT(,"Contaminated gloves during a shift",258)+P261/(O261+P261)</f>
        <v>0</v>
      </c>
      <c r="R261" s="2">
        <f>IF(O261&lt;1,0,_XLL.RISKBINOMIAL(ROUND(O261,0),S261))</f>
        <v>0</v>
      </c>
      <c r="S261" s="11">
        <f aca="true" t="shared" si="61" ref="S261:S324">(1-((1-p_FP_G)^(D261)*(1-p_FCS_G)^(K261)*(1-p_G_E)^(pE*nE)))</f>
        <v>0.0002337817386286467</v>
      </c>
      <c r="U261" s="2">
        <f t="shared" si="56"/>
        <v>102</v>
      </c>
      <c r="V261" s="2">
        <f t="shared" si="57"/>
        <v>1224</v>
      </c>
      <c r="W261" s="2">
        <f t="shared" si="58"/>
        <v>68</v>
      </c>
    </row>
    <row r="262" spans="1:23" ht="12.75">
      <c r="A262">
        <v>1</v>
      </c>
      <c r="B262">
        <v>258</v>
      </c>
      <c r="C262" s="2">
        <f aca="true" t="shared" si="62" ref="C262:C325">IF(C261-H261-pr*C261+nFP*pr*(1-pFP)&lt;0,0,C261-H261-pr*C261+nFP*pr*(1-pFP))</f>
        <v>100.61538461538461</v>
      </c>
      <c r="D262" s="2">
        <f aca="true" t="shared" si="63" ref="D262:D325">IF(D261+H261+pr*nFP*pFP-D261*pr&lt;0,0,D261+H261+pr*nFP*pFP-D261*pr)</f>
        <v>1.3846153846153846</v>
      </c>
      <c r="E262" s="2">
        <f aca="true" t="shared" si="64" ref="E262:E325">C262*pr</f>
        <v>10.061538461538461</v>
      </c>
      <c r="F262" s="2">
        <f aca="true" t="shared" si="65" ref="F262:F325">D262*pr</f>
        <v>0.13846153846153847</v>
      </c>
      <c r="G262" s="9">
        <f>_XLL.RISKOUTPUT(,"Contaminated food products during a shift",259)+D262/(C262+D262)</f>
        <v>0.013574660633484163</v>
      </c>
      <c r="H262" s="2">
        <f>IF(C262&lt;1,0,_XLL.RISKBINOMIAL(ROUND(C262,0),I262))</f>
        <v>0</v>
      </c>
      <c r="I262" s="8">
        <f aca="true" t="shared" si="66" ref="I262:I325">(1-((1-p_FCS_FP)^(K262))*((1-p_G_FP)^(P262))*((1-p_FP_FP)^(D262)))</f>
        <v>5.569062148913506E-05</v>
      </c>
      <c r="J262" s="2">
        <f t="shared" si="59"/>
        <v>1220.7418090519864</v>
      </c>
      <c r="K262" s="2">
        <f t="shared" si="60"/>
        <v>3.2581909480136027</v>
      </c>
      <c r="L262" s="10">
        <f>_XLL.RISKOUTPUT(,"Contaminated food contact surfaces during a shift",259)+K262/(J262+K262)</f>
        <v>0.00266192070916144</v>
      </c>
      <c r="M262" s="2">
        <f>IF(J262&lt;1,0,_XLL.RISKBINOMIAL(ROUND(J262,0),N262))</f>
        <v>0</v>
      </c>
      <c r="N262" s="11">
        <f aca="true" t="shared" si="67" ref="N262:N325">(1-((1-p_FP_FCS)^(D262))*((1-p_G_FCS)^(P262)))</f>
        <v>1.3308466217609727E-05</v>
      </c>
      <c r="O262" s="2">
        <f aca="true" t="shared" si="68" ref="O262:O325">IF(O261-R261+nG*G_h-O261*G_h&lt;0,0,O261-R261+nG*G_h-O261*G_h)</f>
        <v>68</v>
      </c>
      <c r="P262" s="2">
        <f aca="true" t="shared" si="69" ref="P262:P325">IF(P261+R261-P261*G_h&lt;0,0,P261+R261-P261*G_h)</f>
        <v>0</v>
      </c>
      <c r="Q262" s="10">
        <f>_XLL.RISKOUTPUT(,"Contaminated gloves during a shift",259)+P262/(O262+P262)</f>
        <v>0</v>
      </c>
      <c r="R262" s="2">
        <f>IF(O262&lt;1,0,_XLL.RISKBINOMIAL(ROUND(O262,0),S262))</f>
        <v>0</v>
      </c>
      <c r="S262" s="11">
        <f t="shared" si="61"/>
        <v>0.0002337817386286467</v>
      </c>
      <c r="U262" s="2">
        <f t="shared" si="56"/>
        <v>102</v>
      </c>
      <c r="V262" s="2">
        <f t="shared" si="57"/>
        <v>1224</v>
      </c>
      <c r="W262" s="2">
        <f t="shared" si="58"/>
        <v>68</v>
      </c>
    </row>
    <row r="263" spans="1:23" ht="12.75">
      <c r="A263">
        <v>1</v>
      </c>
      <c r="B263">
        <v>259</v>
      </c>
      <c r="C263" s="2">
        <f t="shared" si="62"/>
        <v>100.61538461538461</v>
      </c>
      <c r="D263" s="2">
        <f t="shared" si="63"/>
        <v>1.3846153846153846</v>
      </c>
      <c r="E263" s="2">
        <f t="shared" si="64"/>
        <v>10.061538461538461</v>
      </c>
      <c r="F263" s="2">
        <f t="shared" si="65"/>
        <v>0.13846153846153847</v>
      </c>
      <c r="G263" s="9">
        <f>_XLL.RISKOUTPUT(,"Contaminated food products during a shift",260)+D263/(C263+D263)</f>
        <v>0.013574660633484163</v>
      </c>
      <c r="H263" s="2">
        <f>IF(C263&lt;1,0,_XLL.RISKBINOMIAL(ROUND(C263,0),I263))</f>
        <v>0</v>
      </c>
      <c r="I263" s="8">
        <f t="shared" si="66"/>
        <v>5.569062148913506E-05</v>
      </c>
      <c r="J263" s="2">
        <f t="shared" si="59"/>
        <v>1220.7418090519864</v>
      </c>
      <c r="K263" s="2">
        <f t="shared" si="60"/>
        <v>3.2581909480136027</v>
      </c>
      <c r="L263" s="10">
        <f>_XLL.RISKOUTPUT(,"Contaminated food contact surfaces during a shift",260)+K263/(J263+K263)</f>
        <v>0.00266192070916144</v>
      </c>
      <c r="M263" s="2">
        <f>IF(J263&lt;1,0,_XLL.RISKBINOMIAL(ROUND(J263,0),N263))</f>
        <v>0</v>
      </c>
      <c r="N263" s="11">
        <f t="shared" si="67"/>
        <v>1.3308466217609727E-05</v>
      </c>
      <c r="O263" s="2">
        <f t="shared" si="68"/>
        <v>68</v>
      </c>
      <c r="P263" s="2">
        <f t="shared" si="69"/>
        <v>0</v>
      </c>
      <c r="Q263" s="10">
        <f>_XLL.RISKOUTPUT(,"Contaminated gloves during a shift",260)+P263/(O263+P263)</f>
        <v>0</v>
      </c>
      <c r="R263" s="2">
        <f>IF(O263&lt;1,0,_XLL.RISKBINOMIAL(ROUND(O263,0),S263))</f>
        <v>0</v>
      </c>
      <c r="S263" s="11">
        <f t="shared" si="61"/>
        <v>0.0002337817386286467</v>
      </c>
      <c r="U263" s="2">
        <f t="shared" si="56"/>
        <v>102</v>
      </c>
      <c r="V263" s="2">
        <f t="shared" si="57"/>
        <v>1224</v>
      </c>
      <c r="W263" s="2">
        <f t="shared" si="58"/>
        <v>68</v>
      </c>
    </row>
    <row r="264" spans="1:23" ht="12.75">
      <c r="A264">
        <v>1</v>
      </c>
      <c r="B264">
        <v>260</v>
      </c>
      <c r="C264" s="2">
        <f t="shared" si="62"/>
        <v>100.61538461538461</v>
      </c>
      <c r="D264" s="2">
        <f t="shared" si="63"/>
        <v>1.3846153846153846</v>
      </c>
      <c r="E264" s="2">
        <f t="shared" si="64"/>
        <v>10.061538461538461</v>
      </c>
      <c r="F264" s="2">
        <f t="shared" si="65"/>
        <v>0.13846153846153847</v>
      </c>
      <c r="G264" s="9">
        <f>_XLL.RISKOUTPUT(,"Contaminated food products during a shift",261)+D264/(C264+D264)</f>
        <v>0.013574660633484163</v>
      </c>
      <c r="H264" s="2">
        <f>IF(C264&lt;1,0,_XLL.RISKBINOMIAL(ROUND(C264,0),I264))</f>
        <v>0</v>
      </c>
      <c r="I264" s="8">
        <f t="shared" si="66"/>
        <v>5.569062148913506E-05</v>
      </c>
      <c r="J264" s="2">
        <f t="shared" si="59"/>
        <v>1220.7418090519864</v>
      </c>
      <c r="K264" s="2">
        <f t="shared" si="60"/>
        <v>3.2581909480136027</v>
      </c>
      <c r="L264" s="10">
        <f>_XLL.RISKOUTPUT(,"Contaminated food contact surfaces during a shift",261)+K264/(J264+K264)</f>
        <v>0.00266192070916144</v>
      </c>
      <c r="M264" s="2">
        <f>IF(J264&lt;1,0,_XLL.RISKBINOMIAL(ROUND(J264,0),N264))</f>
        <v>0</v>
      </c>
      <c r="N264" s="11">
        <f t="shared" si="67"/>
        <v>1.3308466217609727E-05</v>
      </c>
      <c r="O264" s="2">
        <f t="shared" si="68"/>
        <v>68</v>
      </c>
      <c r="P264" s="2">
        <f t="shared" si="69"/>
        <v>0</v>
      </c>
      <c r="Q264" s="10">
        <f>_XLL.RISKOUTPUT(,"Contaminated gloves during a shift",261)+P264/(O264+P264)</f>
        <v>0</v>
      </c>
      <c r="R264" s="2">
        <f>IF(O264&lt;1,0,_XLL.RISKBINOMIAL(ROUND(O264,0),S264))</f>
        <v>0</v>
      </c>
      <c r="S264" s="11">
        <f t="shared" si="61"/>
        <v>0.0002337817386286467</v>
      </c>
      <c r="U264" s="2">
        <f t="shared" si="56"/>
        <v>102</v>
      </c>
      <c r="V264" s="2">
        <f t="shared" si="57"/>
        <v>1224</v>
      </c>
      <c r="W264" s="2">
        <f t="shared" si="58"/>
        <v>68</v>
      </c>
    </row>
    <row r="265" spans="1:23" ht="12.75">
      <c r="A265">
        <v>1</v>
      </c>
      <c r="B265">
        <v>261</v>
      </c>
      <c r="C265" s="2">
        <f t="shared" si="62"/>
        <v>100.61538461538461</v>
      </c>
      <c r="D265" s="2">
        <f t="shared" si="63"/>
        <v>1.3846153846153846</v>
      </c>
      <c r="E265" s="2">
        <f t="shared" si="64"/>
        <v>10.061538461538461</v>
      </c>
      <c r="F265" s="2">
        <f t="shared" si="65"/>
        <v>0.13846153846153847</v>
      </c>
      <c r="G265" s="9">
        <f>_XLL.RISKOUTPUT(,"Contaminated food products during a shift",262)+D265/(C265+D265)</f>
        <v>0.013574660633484163</v>
      </c>
      <c r="H265" s="2">
        <f>IF(C265&lt;1,0,_XLL.RISKBINOMIAL(ROUND(C265,0),I265))</f>
        <v>0</v>
      </c>
      <c r="I265" s="8">
        <f t="shared" si="66"/>
        <v>5.569062148913506E-05</v>
      </c>
      <c r="J265" s="2">
        <f t="shared" si="59"/>
        <v>1220.7418090519864</v>
      </c>
      <c r="K265" s="2">
        <f t="shared" si="60"/>
        <v>3.2581909480136027</v>
      </c>
      <c r="L265" s="10">
        <f>_XLL.RISKOUTPUT(,"Contaminated food contact surfaces during a shift",262)+K265/(J265+K265)</f>
        <v>0.00266192070916144</v>
      </c>
      <c r="M265" s="2">
        <f>IF(J265&lt;1,0,_XLL.RISKBINOMIAL(ROUND(J265,0),N265))</f>
        <v>0</v>
      </c>
      <c r="N265" s="11">
        <f t="shared" si="67"/>
        <v>1.3308466217609727E-05</v>
      </c>
      <c r="O265" s="2">
        <f t="shared" si="68"/>
        <v>68</v>
      </c>
      <c r="P265" s="2">
        <f t="shared" si="69"/>
        <v>0</v>
      </c>
      <c r="Q265" s="10">
        <f>_XLL.RISKOUTPUT(,"Contaminated gloves during a shift",262)+P265/(O265+P265)</f>
        <v>0</v>
      </c>
      <c r="R265" s="2">
        <f>IF(O265&lt;1,0,_XLL.RISKBINOMIAL(ROUND(O265,0),S265))</f>
        <v>0</v>
      </c>
      <c r="S265" s="11">
        <f t="shared" si="61"/>
        <v>0.0002337817386286467</v>
      </c>
      <c r="U265" s="2">
        <f t="shared" si="56"/>
        <v>102</v>
      </c>
      <c r="V265" s="2">
        <f t="shared" si="57"/>
        <v>1224</v>
      </c>
      <c r="W265" s="2">
        <f t="shared" si="58"/>
        <v>68</v>
      </c>
    </row>
    <row r="266" spans="1:23" ht="12.75">
      <c r="A266">
        <v>1</v>
      </c>
      <c r="B266">
        <v>262</v>
      </c>
      <c r="C266" s="2">
        <f t="shared" si="62"/>
        <v>100.61538461538461</v>
      </c>
      <c r="D266" s="2">
        <f t="shared" si="63"/>
        <v>1.3846153846153846</v>
      </c>
      <c r="E266" s="2">
        <f t="shared" si="64"/>
        <v>10.061538461538461</v>
      </c>
      <c r="F266" s="2">
        <f t="shared" si="65"/>
        <v>0.13846153846153847</v>
      </c>
      <c r="G266" s="9">
        <f>_XLL.RISKOUTPUT(,"Contaminated food products during a shift",263)+D266/(C266+D266)</f>
        <v>0.013574660633484163</v>
      </c>
      <c r="H266" s="2">
        <f>IF(C266&lt;1,0,_XLL.RISKBINOMIAL(ROUND(C266,0),I266))</f>
        <v>0</v>
      </c>
      <c r="I266" s="8">
        <f t="shared" si="66"/>
        <v>5.569062148913506E-05</v>
      </c>
      <c r="J266" s="2">
        <f t="shared" si="59"/>
        <v>1220.7418090519864</v>
      </c>
      <c r="K266" s="2">
        <f t="shared" si="60"/>
        <v>3.2581909480136027</v>
      </c>
      <c r="L266" s="10">
        <f>_XLL.RISKOUTPUT(,"Contaminated food contact surfaces during a shift",263)+K266/(J266+K266)</f>
        <v>0.00266192070916144</v>
      </c>
      <c r="M266" s="2">
        <f>IF(J266&lt;1,0,_XLL.RISKBINOMIAL(ROUND(J266,0),N266))</f>
        <v>0</v>
      </c>
      <c r="N266" s="11">
        <f t="shared" si="67"/>
        <v>1.3308466217609727E-05</v>
      </c>
      <c r="O266" s="2">
        <f t="shared" si="68"/>
        <v>68</v>
      </c>
      <c r="P266" s="2">
        <f t="shared" si="69"/>
        <v>0</v>
      </c>
      <c r="Q266" s="10">
        <f>_XLL.RISKOUTPUT(,"Contaminated gloves during a shift",263)+P266/(O266+P266)</f>
        <v>0</v>
      </c>
      <c r="R266" s="2">
        <f>IF(O266&lt;1,0,_XLL.RISKBINOMIAL(ROUND(O266,0),S266))</f>
        <v>0</v>
      </c>
      <c r="S266" s="11">
        <f t="shared" si="61"/>
        <v>0.0002337817386286467</v>
      </c>
      <c r="U266" s="2">
        <f t="shared" si="56"/>
        <v>102</v>
      </c>
      <c r="V266" s="2">
        <f t="shared" si="57"/>
        <v>1224</v>
      </c>
      <c r="W266" s="2">
        <f t="shared" si="58"/>
        <v>68</v>
      </c>
    </row>
    <row r="267" spans="1:23" ht="12.75">
      <c r="A267">
        <v>1</v>
      </c>
      <c r="B267">
        <v>263</v>
      </c>
      <c r="C267" s="2">
        <f t="shared" si="62"/>
        <v>100.61538461538461</v>
      </c>
      <c r="D267" s="2">
        <f t="shared" si="63"/>
        <v>1.3846153846153846</v>
      </c>
      <c r="E267" s="2">
        <f t="shared" si="64"/>
        <v>10.061538461538461</v>
      </c>
      <c r="F267" s="2">
        <f t="shared" si="65"/>
        <v>0.13846153846153847</v>
      </c>
      <c r="G267" s="9">
        <f>_XLL.RISKOUTPUT(,"Contaminated food products during a shift",264)+D267/(C267+D267)</f>
        <v>0.013574660633484163</v>
      </c>
      <c r="H267" s="2">
        <f>IF(C267&lt;1,0,_XLL.RISKBINOMIAL(ROUND(C267,0),I267))</f>
        <v>0</v>
      </c>
      <c r="I267" s="8">
        <f t="shared" si="66"/>
        <v>5.569062148913506E-05</v>
      </c>
      <c r="J267" s="2">
        <f t="shared" si="59"/>
        <v>1220.7418090519864</v>
      </c>
      <c r="K267" s="2">
        <f t="shared" si="60"/>
        <v>3.2581909480136027</v>
      </c>
      <c r="L267" s="10">
        <f>_XLL.RISKOUTPUT(,"Contaminated food contact surfaces during a shift",264)+K267/(J267+K267)</f>
        <v>0.00266192070916144</v>
      </c>
      <c r="M267" s="2">
        <f>IF(J267&lt;1,0,_XLL.RISKBINOMIAL(ROUND(J267,0),N267))</f>
        <v>0</v>
      </c>
      <c r="N267" s="11">
        <f t="shared" si="67"/>
        <v>1.3308466217609727E-05</v>
      </c>
      <c r="O267" s="2">
        <f t="shared" si="68"/>
        <v>68</v>
      </c>
      <c r="P267" s="2">
        <f t="shared" si="69"/>
        <v>0</v>
      </c>
      <c r="Q267" s="10">
        <f>_XLL.RISKOUTPUT(,"Contaminated gloves during a shift",264)+P267/(O267+P267)</f>
        <v>0</v>
      </c>
      <c r="R267" s="2">
        <f>IF(O267&lt;1,0,_XLL.RISKBINOMIAL(ROUND(O267,0),S267))</f>
        <v>0</v>
      </c>
      <c r="S267" s="11">
        <f t="shared" si="61"/>
        <v>0.0002337817386286467</v>
      </c>
      <c r="U267" s="2">
        <f t="shared" si="56"/>
        <v>102</v>
      </c>
      <c r="V267" s="2">
        <f t="shared" si="57"/>
        <v>1224</v>
      </c>
      <c r="W267" s="2">
        <f t="shared" si="58"/>
        <v>68</v>
      </c>
    </row>
    <row r="268" spans="1:23" ht="12.75">
      <c r="A268">
        <v>1</v>
      </c>
      <c r="B268">
        <v>264</v>
      </c>
      <c r="C268" s="2">
        <f t="shared" si="62"/>
        <v>100.61538461538461</v>
      </c>
      <c r="D268" s="2">
        <f t="shared" si="63"/>
        <v>1.3846153846153846</v>
      </c>
      <c r="E268" s="2">
        <f t="shared" si="64"/>
        <v>10.061538461538461</v>
      </c>
      <c r="F268" s="2">
        <f t="shared" si="65"/>
        <v>0.13846153846153847</v>
      </c>
      <c r="G268" s="9">
        <f>_XLL.RISKOUTPUT(,"Contaminated food products during a shift",265)+D268/(C268+D268)</f>
        <v>0.013574660633484163</v>
      </c>
      <c r="H268" s="2">
        <f>IF(C268&lt;1,0,_XLL.RISKBINOMIAL(ROUND(C268,0),I268))</f>
        <v>0</v>
      </c>
      <c r="I268" s="8">
        <f t="shared" si="66"/>
        <v>5.569062148913506E-05</v>
      </c>
      <c r="J268" s="2">
        <f t="shared" si="59"/>
        <v>1220.7418090519864</v>
      </c>
      <c r="K268" s="2">
        <f t="shared" si="60"/>
        <v>3.2581909480136027</v>
      </c>
      <c r="L268" s="10">
        <f>_XLL.RISKOUTPUT(,"Contaminated food contact surfaces during a shift",265)+K268/(J268+K268)</f>
        <v>0.00266192070916144</v>
      </c>
      <c r="M268" s="2">
        <f>IF(J268&lt;1,0,_XLL.RISKBINOMIAL(ROUND(J268,0),N268))</f>
        <v>0</v>
      </c>
      <c r="N268" s="11">
        <f t="shared" si="67"/>
        <v>1.3308466217609727E-05</v>
      </c>
      <c r="O268" s="2">
        <f t="shared" si="68"/>
        <v>68</v>
      </c>
      <c r="P268" s="2">
        <f t="shared" si="69"/>
        <v>0</v>
      </c>
      <c r="Q268" s="10">
        <f>_XLL.RISKOUTPUT(,"Contaminated gloves during a shift",265)+P268/(O268+P268)</f>
        <v>0</v>
      </c>
      <c r="R268" s="2">
        <f>IF(O268&lt;1,0,_XLL.RISKBINOMIAL(ROUND(O268,0),S268))</f>
        <v>0</v>
      </c>
      <c r="S268" s="11">
        <f t="shared" si="61"/>
        <v>0.0002337817386286467</v>
      </c>
      <c r="U268" s="2">
        <f t="shared" si="56"/>
        <v>102</v>
      </c>
      <c r="V268" s="2">
        <f t="shared" si="57"/>
        <v>1224</v>
      </c>
      <c r="W268" s="2">
        <f t="shared" si="58"/>
        <v>68</v>
      </c>
    </row>
    <row r="269" spans="1:23" ht="12.75">
      <c r="A269">
        <v>1</v>
      </c>
      <c r="B269">
        <v>265</v>
      </c>
      <c r="C269" s="2">
        <f t="shared" si="62"/>
        <v>100.61538461538461</v>
      </c>
      <c r="D269" s="2">
        <f t="shared" si="63"/>
        <v>1.3846153846153846</v>
      </c>
      <c r="E269" s="2">
        <f t="shared" si="64"/>
        <v>10.061538461538461</v>
      </c>
      <c r="F269" s="2">
        <f t="shared" si="65"/>
        <v>0.13846153846153847</v>
      </c>
      <c r="G269" s="9">
        <f>_XLL.RISKOUTPUT(,"Contaminated food products during a shift",266)+D269/(C269+D269)</f>
        <v>0.013574660633484163</v>
      </c>
      <c r="H269" s="2">
        <f>IF(C269&lt;1,0,_XLL.RISKBINOMIAL(ROUND(C269,0),I269))</f>
        <v>0</v>
      </c>
      <c r="I269" s="8">
        <f t="shared" si="66"/>
        <v>5.569062148913506E-05</v>
      </c>
      <c r="J269" s="2">
        <f t="shared" si="59"/>
        <v>1220.7418090519864</v>
      </c>
      <c r="K269" s="2">
        <f t="shared" si="60"/>
        <v>3.2581909480136027</v>
      </c>
      <c r="L269" s="10">
        <f>_XLL.RISKOUTPUT(,"Contaminated food contact surfaces during a shift",266)+K269/(J269+K269)</f>
        <v>0.00266192070916144</v>
      </c>
      <c r="M269" s="2">
        <f>IF(J269&lt;1,0,_XLL.RISKBINOMIAL(ROUND(J269,0),N269))</f>
        <v>0</v>
      </c>
      <c r="N269" s="11">
        <f t="shared" si="67"/>
        <v>1.3308466217609727E-05</v>
      </c>
      <c r="O269" s="2">
        <f t="shared" si="68"/>
        <v>68</v>
      </c>
      <c r="P269" s="2">
        <f t="shared" si="69"/>
        <v>0</v>
      </c>
      <c r="Q269" s="10">
        <f>_XLL.RISKOUTPUT(,"Contaminated gloves during a shift",266)+P269/(O269+P269)</f>
        <v>0</v>
      </c>
      <c r="R269" s="2">
        <f>IF(O269&lt;1,0,_XLL.RISKBINOMIAL(ROUND(O269,0),S269))</f>
        <v>0</v>
      </c>
      <c r="S269" s="11">
        <f t="shared" si="61"/>
        <v>0.0002337817386286467</v>
      </c>
      <c r="U269" s="2">
        <f t="shared" si="56"/>
        <v>102</v>
      </c>
      <c r="V269" s="2">
        <f t="shared" si="57"/>
        <v>1224</v>
      </c>
      <c r="W269" s="2">
        <f t="shared" si="58"/>
        <v>68</v>
      </c>
    </row>
    <row r="270" spans="1:23" ht="12.75">
      <c r="A270">
        <v>1</v>
      </c>
      <c r="B270">
        <v>266</v>
      </c>
      <c r="C270" s="2">
        <f t="shared" si="62"/>
        <v>100.61538461538461</v>
      </c>
      <c r="D270" s="2">
        <f t="shared" si="63"/>
        <v>1.3846153846153846</v>
      </c>
      <c r="E270" s="2">
        <f t="shared" si="64"/>
        <v>10.061538461538461</v>
      </c>
      <c r="F270" s="2">
        <f t="shared" si="65"/>
        <v>0.13846153846153847</v>
      </c>
      <c r="G270" s="9">
        <f>_XLL.RISKOUTPUT(,"Contaminated food products during a shift",267)+D270/(C270+D270)</f>
        <v>0.013574660633484163</v>
      </c>
      <c r="H270" s="2">
        <f>IF(C270&lt;1,0,_XLL.RISKBINOMIAL(ROUND(C270,0),I270))</f>
        <v>0</v>
      </c>
      <c r="I270" s="8">
        <f t="shared" si="66"/>
        <v>5.569062148913506E-05</v>
      </c>
      <c r="J270" s="2">
        <f t="shared" si="59"/>
        <v>1220.7418090519864</v>
      </c>
      <c r="K270" s="2">
        <f t="shared" si="60"/>
        <v>3.2581909480136027</v>
      </c>
      <c r="L270" s="10">
        <f>_XLL.RISKOUTPUT(,"Contaminated food contact surfaces during a shift",267)+K270/(J270+K270)</f>
        <v>0.00266192070916144</v>
      </c>
      <c r="M270" s="2">
        <f>IF(J270&lt;1,0,_XLL.RISKBINOMIAL(ROUND(J270,0),N270))</f>
        <v>0</v>
      </c>
      <c r="N270" s="11">
        <f t="shared" si="67"/>
        <v>1.3308466217609727E-05</v>
      </c>
      <c r="O270" s="2">
        <f t="shared" si="68"/>
        <v>68</v>
      </c>
      <c r="P270" s="2">
        <f t="shared" si="69"/>
        <v>0</v>
      </c>
      <c r="Q270" s="10">
        <f>_XLL.RISKOUTPUT(,"Contaminated gloves during a shift",267)+P270/(O270+P270)</f>
        <v>0</v>
      </c>
      <c r="R270" s="2">
        <f>IF(O270&lt;1,0,_XLL.RISKBINOMIAL(ROUND(O270,0),S270))</f>
        <v>0</v>
      </c>
      <c r="S270" s="11">
        <f t="shared" si="61"/>
        <v>0.0002337817386286467</v>
      </c>
      <c r="U270" s="2">
        <f t="shared" si="56"/>
        <v>102</v>
      </c>
      <c r="V270" s="2">
        <f t="shared" si="57"/>
        <v>1224</v>
      </c>
      <c r="W270" s="2">
        <f t="shared" si="58"/>
        <v>68</v>
      </c>
    </row>
    <row r="271" spans="1:23" ht="12.75">
      <c r="A271">
        <v>1</v>
      </c>
      <c r="B271">
        <v>267</v>
      </c>
      <c r="C271" s="2">
        <f t="shared" si="62"/>
        <v>100.61538461538461</v>
      </c>
      <c r="D271" s="2">
        <f t="shared" si="63"/>
        <v>1.3846153846153846</v>
      </c>
      <c r="E271" s="2">
        <f t="shared" si="64"/>
        <v>10.061538461538461</v>
      </c>
      <c r="F271" s="2">
        <f t="shared" si="65"/>
        <v>0.13846153846153847</v>
      </c>
      <c r="G271" s="9">
        <f>_XLL.RISKOUTPUT(,"Contaminated food products during a shift",268)+D271/(C271+D271)</f>
        <v>0.013574660633484163</v>
      </c>
      <c r="H271" s="2">
        <f>IF(C271&lt;1,0,_XLL.RISKBINOMIAL(ROUND(C271,0),I271))</f>
        <v>0</v>
      </c>
      <c r="I271" s="8">
        <f t="shared" si="66"/>
        <v>5.569062148913506E-05</v>
      </c>
      <c r="J271" s="2">
        <f t="shared" si="59"/>
        <v>1220.7418090519864</v>
      </c>
      <c r="K271" s="2">
        <f t="shared" si="60"/>
        <v>3.2581909480136027</v>
      </c>
      <c r="L271" s="10">
        <f>_XLL.RISKOUTPUT(,"Contaminated food contact surfaces during a shift",268)+K271/(J271+K271)</f>
        <v>0.00266192070916144</v>
      </c>
      <c r="M271" s="2">
        <f>IF(J271&lt;1,0,_XLL.RISKBINOMIAL(ROUND(J271,0),N271))</f>
        <v>0</v>
      </c>
      <c r="N271" s="11">
        <f t="shared" si="67"/>
        <v>1.3308466217609727E-05</v>
      </c>
      <c r="O271" s="2">
        <f t="shared" si="68"/>
        <v>68</v>
      </c>
      <c r="P271" s="2">
        <f t="shared" si="69"/>
        <v>0</v>
      </c>
      <c r="Q271" s="10">
        <f>_XLL.RISKOUTPUT(,"Contaminated gloves during a shift",268)+P271/(O271+P271)</f>
        <v>0</v>
      </c>
      <c r="R271" s="2">
        <f>IF(O271&lt;1,0,_XLL.RISKBINOMIAL(ROUND(O271,0),S271))</f>
        <v>0</v>
      </c>
      <c r="S271" s="11">
        <f t="shared" si="61"/>
        <v>0.0002337817386286467</v>
      </c>
      <c r="U271" s="2">
        <f t="shared" si="56"/>
        <v>102</v>
      </c>
      <c r="V271" s="2">
        <f t="shared" si="57"/>
        <v>1224</v>
      </c>
      <c r="W271" s="2">
        <f t="shared" si="58"/>
        <v>68</v>
      </c>
    </row>
    <row r="272" spans="1:23" ht="12.75">
      <c r="A272">
        <v>1</v>
      </c>
      <c r="B272">
        <v>268</v>
      </c>
      <c r="C272" s="2">
        <f t="shared" si="62"/>
        <v>100.61538461538461</v>
      </c>
      <c r="D272" s="2">
        <f t="shared" si="63"/>
        <v>1.3846153846153846</v>
      </c>
      <c r="E272" s="2">
        <f t="shared" si="64"/>
        <v>10.061538461538461</v>
      </c>
      <c r="F272" s="2">
        <f t="shared" si="65"/>
        <v>0.13846153846153847</v>
      </c>
      <c r="G272" s="9">
        <f>_XLL.RISKOUTPUT(,"Contaminated food products during a shift",269)+D272/(C272+D272)</f>
        <v>0.013574660633484163</v>
      </c>
      <c r="H272" s="2">
        <f>IF(C272&lt;1,0,_XLL.RISKBINOMIAL(ROUND(C272,0),I272))</f>
        <v>0</v>
      </c>
      <c r="I272" s="8">
        <f t="shared" si="66"/>
        <v>5.569062148913506E-05</v>
      </c>
      <c r="J272" s="2">
        <f t="shared" si="59"/>
        <v>1220.7418090519864</v>
      </c>
      <c r="K272" s="2">
        <f t="shared" si="60"/>
        <v>3.2581909480136027</v>
      </c>
      <c r="L272" s="10">
        <f>_XLL.RISKOUTPUT(,"Contaminated food contact surfaces during a shift",269)+K272/(J272+K272)</f>
        <v>0.00266192070916144</v>
      </c>
      <c r="M272" s="2">
        <f>IF(J272&lt;1,0,_XLL.RISKBINOMIAL(ROUND(J272,0),N272))</f>
        <v>0</v>
      </c>
      <c r="N272" s="11">
        <f t="shared" si="67"/>
        <v>1.3308466217609727E-05</v>
      </c>
      <c r="O272" s="2">
        <f t="shared" si="68"/>
        <v>68</v>
      </c>
      <c r="P272" s="2">
        <f t="shared" si="69"/>
        <v>0</v>
      </c>
      <c r="Q272" s="10">
        <f>_XLL.RISKOUTPUT(,"Contaminated gloves during a shift",269)+P272/(O272+P272)</f>
        <v>0</v>
      </c>
      <c r="R272" s="2">
        <f>IF(O272&lt;1,0,_XLL.RISKBINOMIAL(ROUND(O272,0),S272))</f>
        <v>0</v>
      </c>
      <c r="S272" s="11">
        <f t="shared" si="61"/>
        <v>0.0002337817386286467</v>
      </c>
      <c r="U272" s="2">
        <f t="shared" si="56"/>
        <v>102</v>
      </c>
      <c r="V272" s="2">
        <f t="shared" si="57"/>
        <v>1224</v>
      </c>
      <c r="W272" s="2">
        <f t="shared" si="58"/>
        <v>68</v>
      </c>
    </row>
    <row r="273" spans="1:23" ht="12.75">
      <c r="A273">
        <v>1</v>
      </c>
      <c r="B273">
        <v>269</v>
      </c>
      <c r="C273" s="2">
        <f t="shared" si="62"/>
        <v>100.61538461538461</v>
      </c>
      <c r="D273" s="2">
        <f t="shared" si="63"/>
        <v>1.3846153846153846</v>
      </c>
      <c r="E273" s="2">
        <f t="shared" si="64"/>
        <v>10.061538461538461</v>
      </c>
      <c r="F273" s="2">
        <f t="shared" si="65"/>
        <v>0.13846153846153847</v>
      </c>
      <c r="G273" s="9">
        <f>_XLL.RISKOUTPUT(,"Contaminated food products during a shift",270)+D273/(C273+D273)</f>
        <v>0.013574660633484163</v>
      </c>
      <c r="H273" s="2">
        <f>IF(C273&lt;1,0,_XLL.RISKBINOMIAL(ROUND(C273,0),I273))</f>
        <v>0</v>
      </c>
      <c r="I273" s="8">
        <f t="shared" si="66"/>
        <v>5.569062148913506E-05</v>
      </c>
      <c r="J273" s="2">
        <f t="shared" si="59"/>
        <v>1220.7418090519864</v>
      </c>
      <c r="K273" s="2">
        <f t="shared" si="60"/>
        <v>3.2581909480136027</v>
      </c>
      <c r="L273" s="10">
        <f>_XLL.RISKOUTPUT(,"Contaminated food contact surfaces during a shift",270)+K273/(J273+K273)</f>
        <v>0.00266192070916144</v>
      </c>
      <c r="M273" s="2">
        <f>IF(J273&lt;1,0,_XLL.RISKBINOMIAL(ROUND(J273,0),N273))</f>
        <v>0</v>
      </c>
      <c r="N273" s="11">
        <f t="shared" si="67"/>
        <v>1.3308466217609727E-05</v>
      </c>
      <c r="O273" s="2">
        <f t="shared" si="68"/>
        <v>68</v>
      </c>
      <c r="P273" s="2">
        <f t="shared" si="69"/>
        <v>0</v>
      </c>
      <c r="Q273" s="10">
        <f>_XLL.RISKOUTPUT(,"Contaminated gloves during a shift",270)+P273/(O273+P273)</f>
        <v>0</v>
      </c>
      <c r="R273" s="2">
        <f>IF(O273&lt;1,0,_XLL.RISKBINOMIAL(ROUND(O273,0),S273))</f>
        <v>0</v>
      </c>
      <c r="S273" s="11">
        <f t="shared" si="61"/>
        <v>0.0002337817386286467</v>
      </c>
      <c r="U273" s="2">
        <f t="shared" si="56"/>
        <v>102</v>
      </c>
      <c r="V273" s="2">
        <f t="shared" si="57"/>
        <v>1224</v>
      </c>
      <c r="W273" s="2">
        <f t="shared" si="58"/>
        <v>68</v>
      </c>
    </row>
    <row r="274" spans="1:23" ht="12.75">
      <c r="A274">
        <v>1</v>
      </c>
      <c r="B274">
        <v>270</v>
      </c>
      <c r="C274" s="2">
        <f t="shared" si="62"/>
        <v>100.61538461538461</v>
      </c>
      <c r="D274" s="2">
        <f t="shared" si="63"/>
        <v>1.3846153846153846</v>
      </c>
      <c r="E274" s="2">
        <f t="shared" si="64"/>
        <v>10.061538461538461</v>
      </c>
      <c r="F274" s="2">
        <f t="shared" si="65"/>
        <v>0.13846153846153847</v>
      </c>
      <c r="G274" s="9">
        <f>_XLL.RISKOUTPUT(,"Contaminated food products during a shift",271)+D274/(C274+D274)</f>
        <v>0.013574660633484163</v>
      </c>
      <c r="H274" s="2">
        <f>IF(C274&lt;1,0,_XLL.RISKBINOMIAL(ROUND(C274,0),I274))</f>
        <v>0</v>
      </c>
      <c r="I274" s="8">
        <f t="shared" si="66"/>
        <v>5.569062148913506E-05</v>
      </c>
      <c r="J274" s="2">
        <f t="shared" si="59"/>
        <v>1220.7418090519864</v>
      </c>
      <c r="K274" s="2">
        <f t="shared" si="60"/>
        <v>3.2581909480136027</v>
      </c>
      <c r="L274" s="10">
        <f>_XLL.RISKOUTPUT(,"Contaminated food contact surfaces during a shift",271)+K274/(J274+K274)</f>
        <v>0.00266192070916144</v>
      </c>
      <c r="M274" s="2">
        <f>IF(J274&lt;1,0,_XLL.RISKBINOMIAL(ROUND(J274,0),N274))</f>
        <v>0</v>
      </c>
      <c r="N274" s="11">
        <f t="shared" si="67"/>
        <v>1.3308466217609727E-05</v>
      </c>
      <c r="O274" s="2">
        <f t="shared" si="68"/>
        <v>68</v>
      </c>
      <c r="P274" s="2">
        <f t="shared" si="69"/>
        <v>0</v>
      </c>
      <c r="Q274" s="10">
        <f>_XLL.RISKOUTPUT(,"Contaminated gloves during a shift",271)+P274/(O274+P274)</f>
        <v>0</v>
      </c>
      <c r="R274" s="2">
        <f>IF(O274&lt;1,0,_XLL.RISKBINOMIAL(ROUND(O274,0),S274))</f>
        <v>0</v>
      </c>
      <c r="S274" s="11">
        <f t="shared" si="61"/>
        <v>0.0002337817386286467</v>
      </c>
      <c r="U274" s="2">
        <f t="shared" si="56"/>
        <v>102</v>
      </c>
      <c r="V274" s="2">
        <f t="shared" si="57"/>
        <v>1224</v>
      </c>
      <c r="W274" s="2">
        <f t="shared" si="58"/>
        <v>68</v>
      </c>
    </row>
    <row r="275" spans="1:23" ht="12.75">
      <c r="A275">
        <v>1</v>
      </c>
      <c r="B275">
        <v>271</v>
      </c>
      <c r="C275" s="2">
        <f t="shared" si="62"/>
        <v>100.61538461538461</v>
      </c>
      <c r="D275" s="2">
        <f t="shared" si="63"/>
        <v>1.3846153846153846</v>
      </c>
      <c r="E275" s="2">
        <f t="shared" si="64"/>
        <v>10.061538461538461</v>
      </c>
      <c r="F275" s="2">
        <f t="shared" si="65"/>
        <v>0.13846153846153847</v>
      </c>
      <c r="G275" s="9">
        <f>_XLL.RISKOUTPUT(,"Contaminated food products during a shift",272)+D275/(C275+D275)</f>
        <v>0.013574660633484163</v>
      </c>
      <c r="H275" s="2">
        <f>IF(C275&lt;1,0,_XLL.RISKBINOMIAL(ROUND(C275,0),I275))</f>
        <v>0</v>
      </c>
      <c r="I275" s="8">
        <f t="shared" si="66"/>
        <v>5.569062148913506E-05</v>
      </c>
      <c r="J275" s="2">
        <f t="shared" si="59"/>
        <v>1220.7418090519864</v>
      </c>
      <c r="K275" s="2">
        <f t="shared" si="60"/>
        <v>3.2581909480136027</v>
      </c>
      <c r="L275" s="10">
        <f>_XLL.RISKOUTPUT(,"Contaminated food contact surfaces during a shift",272)+K275/(J275+K275)</f>
        <v>0.00266192070916144</v>
      </c>
      <c r="M275" s="2">
        <f>IF(J275&lt;1,0,_XLL.RISKBINOMIAL(ROUND(J275,0),N275))</f>
        <v>0</v>
      </c>
      <c r="N275" s="11">
        <f t="shared" si="67"/>
        <v>1.3308466217609727E-05</v>
      </c>
      <c r="O275" s="2">
        <f t="shared" si="68"/>
        <v>68</v>
      </c>
      <c r="P275" s="2">
        <f t="shared" si="69"/>
        <v>0</v>
      </c>
      <c r="Q275" s="10">
        <f>_XLL.RISKOUTPUT(,"Contaminated gloves during a shift",272)+P275/(O275+P275)</f>
        <v>0</v>
      </c>
      <c r="R275" s="2">
        <f>IF(O275&lt;1,0,_XLL.RISKBINOMIAL(ROUND(O275,0),S275))</f>
        <v>0</v>
      </c>
      <c r="S275" s="11">
        <f t="shared" si="61"/>
        <v>0.0002337817386286467</v>
      </c>
      <c r="U275" s="2">
        <f t="shared" si="56"/>
        <v>102</v>
      </c>
      <c r="V275" s="2">
        <f t="shared" si="57"/>
        <v>1224</v>
      </c>
      <c r="W275" s="2">
        <f t="shared" si="58"/>
        <v>68</v>
      </c>
    </row>
    <row r="276" spans="1:23" ht="12.75">
      <c r="A276">
        <v>1</v>
      </c>
      <c r="B276">
        <v>272</v>
      </c>
      <c r="C276" s="2">
        <f t="shared" si="62"/>
        <v>100.61538461538461</v>
      </c>
      <c r="D276" s="2">
        <f t="shared" si="63"/>
        <v>1.3846153846153846</v>
      </c>
      <c r="E276" s="2">
        <f t="shared" si="64"/>
        <v>10.061538461538461</v>
      </c>
      <c r="F276" s="2">
        <f t="shared" si="65"/>
        <v>0.13846153846153847</v>
      </c>
      <c r="G276" s="9">
        <f>_XLL.RISKOUTPUT(,"Contaminated food products during a shift",273)+D276/(C276+D276)</f>
        <v>0.013574660633484163</v>
      </c>
      <c r="H276" s="2">
        <f>IF(C276&lt;1,0,_XLL.RISKBINOMIAL(ROUND(C276,0),I276))</f>
        <v>0</v>
      </c>
      <c r="I276" s="8">
        <f t="shared" si="66"/>
        <v>5.569062148913506E-05</v>
      </c>
      <c r="J276" s="2">
        <f t="shared" si="59"/>
        <v>1220.7418090519864</v>
      </c>
      <c r="K276" s="2">
        <f t="shared" si="60"/>
        <v>3.2581909480136027</v>
      </c>
      <c r="L276" s="10">
        <f>_XLL.RISKOUTPUT(,"Contaminated food contact surfaces during a shift",273)+K276/(J276+K276)</f>
        <v>0.00266192070916144</v>
      </c>
      <c r="M276" s="2">
        <f>IF(J276&lt;1,0,_XLL.RISKBINOMIAL(ROUND(J276,0),N276))</f>
        <v>0</v>
      </c>
      <c r="N276" s="11">
        <f t="shared" si="67"/>
        <v>1.3308466217609727E-05</v>
      </c>
      <c r="O276" s="2">
        <f t="shared" si="68"/>
        <v>68</v>
      </c>
      <c r="P276" s="2">
        <f t="shared" si="69"/>
        <v>0</v>
      </c>
      <c r="Q276" s="10">
        <f>_XLL.RISKOUTPUT(,"Contaminated gloves during a shift",273)+P276/(O276+P276)</f>
        <v>0</v>
      </c>
      <c r="R276" s="2">
        <f>IF(O276&lt;1,0,_XLL.RISKBINOMIAL(ROUND(O276,0),S276))</f>
        <v>0</v>
      </c>
      <c r="S276" s="11">
        <f t="shared" si="61"/>
        <v>0.0002337817386286467</v>
      </c>
      <c r="U276" s="2">
        <f t="shared" si="56"/>
        <v>102</v>
      </c>
      <c r="V276" s="2">
        <f t="shared" si="57"/>
        <v>1224</v>
      </c>
      <c r="W276" s="2">
        <f t="shared" si="58"/>
        <v>68</v>
      </c>
    </row>
    <row r="277" spans="1:23" ht="12.75">
      <c r="A277">
        <v>1</v>
      </c>
      <c r="B277">
        <v>273</v>
      </c>
      <c r="C277" s="2">
        <f t="shared" si="62"/>
        <v>100.61538461538461</v>
      </c>
      <c r="D277" s="2">
        <f t="shared" si="63"/>
        <v>1.3846153846153846</v>
      </c>
      <c r="E277" s="2">
        <f t="shared" si="64"/>
        <v>10.061538461538461</v>
      </c>
      <c r="F277" s="2">
        <f t="shared" si="65"/>
        <v>0.13846153846153847</v>
      </c>
      <c r="G277" s="9">
        <f>_XLL.RISKOUTPUT(,"Contaminated food products during a shift",274)+D277/(C277+D277)</f>
        <v>0.013574660633484163</v>
      </c>
      <c r="H277" s="2">
        <f>IF(C277&lt;1,0,_XLL.RISKBINOMIAL(ROUND(C277,0),I277))</f>
        <v>0</v>
      </c>
      <c r="I277" s="8">
        <f t="shared" si="66"/>
        <v>5.569062148913506E-05</v>
      </c>
      <c r="J277" s="2">
        <f t="shared" si="59"/>
        <v>1220.7418090519864</v>
      </c>
      <c r="K277" s="2">
        <f t="shared" si="60"/>
        <v>3.2581909480136027</v>
      </c>
      <c r="L277" s="10">
        <f>_XLL.RISKOUTPUT(,"Contaminated food contact surfaces during a shift",274)+K277/(J277+K277)</f>
        <v>0.00266192070916144</v>
      </c>
      <c r="M277" s="2">
        <f>IF(J277&lt;1,0,_XLL.RISKBINOMIAL(ROUND(J277,0),N277))</f>
        <v>0</v>
      </c>
      <c r="N277" s="11">
        <f t="shared" si="67"/>
        <v>1.3308466217609727E-05</v>
      </c>
      <c r="O277" s="2">
        <f t="shared" si="68"/>
        <v>68</v>
      </c>
      <c r="P277" s="2">
        <f t="shared" si="69"/>
        <v>0</v>
      </c>
      <c r="Q277" s="10">
        <f>_XLL.RISKOUTPUT(,"Contaminated gloves during a shift",274)+P277/(O277+P277)</f>
        <v>0</v>
      </c>
      <c r="R277" s="2">
        <f>IF(O277&lt;1,0,_XLL.RISKBINOMIAL(ROUND(O277,0),S277))</f>
        <v>0</v>
      </c>
      <c r="S277" s="11">
        <f t="shared" si="61"/>
        <v>0.0002337817386286467</v>
      </c>
      <c r="U277" s="2">
        <f t="shared" si="56"/>
        <v>102</v>
      </c>
      <c r="V277" s="2">
        <f t="shared" si="57"/>
        <v>1224</v>
      </c>
      <c r="W277" s="2">
        <f t="shared" si="58"/>
        <v>68</v>
      </c>
    </row>
    <row r="278" spans="1:23" ht="12.75">
      <c r="A278">
        <v>1</v>
      </c>
      <c r="B278">
        <v>274</v>
      </c>
      <c r="C278" s="2">
        <f t="shared" si="62"/>
        <v>100.61538461538461</v>
      </c>
      <c r="D278" s="2">
        <f t="shared" si="63"/>
        <v>1.3846153846153846</v>
      </c>
      <c r="E278" s="2">
        <f t="shared" si="64"/>
        <v>10.061538461538461</v>
      </c>
      <c r="F278" s="2">
        <f t="shared" si="65"/>
        <v>0.13846153846153847</v>
      </c>
      <c r="G278" s="9">
        <f>_XLL.RISKOUTPUT(,"Contaminated food products during a shift",275)+D278/(C278+D278)</f>
        <v>0.013574660633484163</v>
      </c>
      <c r="H278" s="2">
        <f>IF(C278&lt;1,0,_XLL.RISKBINOMIAL(ROUND(C278,0),I278))</f>
        <v>0</v>
      </c>
      <c r="I278" s="8">
        <f t="shared" si="66"/>
        <v>5.569062148913506E-05</v>
      </c>
      <c r="J278" s="2">
        <f t="shared" si="59"/>
        <v>1220.7418090519864</v>
      </c>
      <c r="K278" s="2">
        <f t="shared" si="60"/>
        <v>3.2581909480136027</v>
      </c>
      <c r="L278" s="10">
        <f>_XLL.RISKOUTPUT(,"Contaminated food contact surfaces during a shift",275)+K278/(J278+K278)</f>
        <v>0.00266192070916144</v>
      </c>
      <c r="M278" s="2">
        <f>IF(J278&lt;1,0,_XLL.RISKBINOMIAL(ROUND(J278,0),N278))</f>
        <v>0</v>
      </c>
      <c r="N278" s="11">
        <f t="shared" si="67"/>
        <v>1.3308466217609727E-05</v>
      </c>
      <c r="O278" s="2">
        <f t="shared" si="68"/>
        <v>68</v>
      </c>
      <c r="P278" s="2">
        <f t="shared" si="69"/>
        <v>0</v>
      </c>
      <c r="Q278" s="10">
        <f>_XLL.RISKOUTPUT(,"Contaminated gloves during a shift",275)+P278/(O278+P278)</f>
        <v>0</v>
      </c>
      <c r="R278" s="2">
        <f>IF(O278&lt;1,0,_XLL.RISKBINOMIAL(ROUND(O278,0),S278))</f>
        <v>0</v>
      </c>
      <c r="S278" s="11">
        <f t="shared" si="61"/>
        <v>0.0002337817386286467</v>
      </c>
      <c r="U278" s="2">
        <f t="shared" si="56"/>
        <v>102</v>
      </c>
      <c r="V278" s="2">
        <f t="shared" si="57"/>
        <v>1224</v>
      </c>
      <c r="W278" s="2">
        <f t="shared" si="58"/>
        <v>68</v>
      </c>
    </row>
    <row r="279" spans="1:23" ht="12.75">
      <c r="A279">
        <v>1</v>
      </c>
      <c r="B279">
        <v>275</v>
      </c>
      <c r="C279" s="2">
        <f t="shared" si="62"/>
        <v>100.61538461538461</v>
      </c>
      <c r="D279" s="2">
        <f t="shared" si="63"/>
        <v>1.3846153846153846</v>
      </c>
      <c r="E279" s="2">
        <f t="shared" si="64"/>
        <v>10.061538461538461</v>
      </c>
      <c r="F279" s="2">
        <f t="shared" si="65"/>
        <v>0.13846153846153847</v>
      </c>
      <c r="G279" s="9">
        <f>_XLL.RISKOUTPUT(,"Contaminated food products during a shift",276)+D279/(C279+D279)</f>
        <v>0.013574660633484163</v>
      </c>
      <c r="H279" s="2">
        <f>IF(C279&lt;1,0,_XLL.RISKBINOMIAL(ROUND(C279,0),I279))</f>
        <v>0</v>
      </c>
      <c r="I279" s="8">
        <f t="shared" si="66"/>
        <v>5.569062148913506E-05</v>
      </c>
      <c r="J279" s="2">
        <f t="shared" si="59"/>
        <v>1220.7418090519864</v>
      </c>
      <c r="K279" s="2">
        <f t="shared" si="60"/>
        <v>3.2581909480136027</v>
      </c>
      <c r="L279" s="10">
        <f>_XLL.RISKOUTPUT(,"Contaminated food contact surfaces during a shift",276)+K279/(J279+K279)</f>
        <v>0.00266192070916144</v>
      </c>
      <c r="M279" s="2">
        <f>IF(J279&lt;1,0,_XLL.RISKBINOMIAL(ROUND(J279,0),N279))</f>
        <v>0</v>
      </c>
      <c r="N279" s="11">
        <f t="shared" si="67"/>
        <v>1.3308466217609727E-05</v>
      </c>
      <c r="O279" s="2">
        <f t="shared" si="68"/>
        <v>68</v>
      </c>
      <c r="P279" s="2">
        <f t="shared" si="69"/>
        <v>0</v>
      </c>
      <c r="Q279" s="10">
        <f>_XLL.RISKOUTPUT(,"Contaminated gloves during a shift",276)+P279/(O279+P279)</f>
        <v>0</v>
      </c>
      <c r="R279" s="2">
        <f>IF(O279&lt;1,0,_XLL.RISKBINOMIAL(ROUND(O279,0),S279))</f>
        <v>0</v>
      </c>
      <c r="S279" s="11">
        <f t="shared" si="61"/>
        <v>0.0002337817386286467</v>
      </c>
      <c r="U279" s="2">
        <f t="shared" si="56"/>
        <v>102</v>
      </c>
      <c r="V279" s="2">
        <f t="shared" si="57"/>
        <v>1224</v>
      </c>
      <c r="W279" s="2">
        <f t="shared" si="58"/>
        <v>68</v>
      </c>
    </row>
    <row r="280" spans="1:23" ht="12.75">
      <c r="A280">
        <v>1</v>
      </c>
      <c r="B280">
        <v>276</v>
      </c>
      <c r="C280" s="2">
        <f t="shared" si="62"/>
        <v>100.61538461538461</v>
      </c>
      <c r="D280" s="2">
        <f t="shared" si="63"/>
        <v>1.3846153846153846</v>
      </c>
      <c r="E280" s="2">
        <f t="shared" si="64"/>
        <v>10.061538461538461</v>
      </c>
      <c r="F280" s="2">
        <f t="shared" si="65"/>
        <v>0.13846153846153847</v>
      </c>
      <c r="G280" s="9">
        <f>_XLL.RISKOUTPUT(,"Contaminated food products during a shift",277)+D280/(C280+D280)</f>
        <v>0.013574660633484163</v>
      </c>
      <c r="H280" s="2">
        <f>IF(C280&lt;1,0,_XLL.RISKBINOMIAL(ROUND(C280,0),I280))</f>
        <v>0</v>
      </c>
      <c r="I280" s="8">
        <f t="shared" si="66"/>
        <v>5.569062148913506E-05</v>
      </c>
      <c r="J280" s="2">
        <f t="shared" si="59"/>
        <v>1220.7418090519864</v>
      </c>
      <c r="K280" s="2">
        <f t="shared" si="60"/>
        <v>3.2581909480136027</v>
      </c>
      <c r="L280" s="10">
        <f>_XLL.RISKOUTPUT(,"Contaminated food contact surfaces during a shift",277)+K280/(J280+K280)</f>
        <v>0.00266192070916144</v>
      </c>
      <c r="M280" s="2">
        <f>IF(J280&lt;1,0,_XLL.RISKBINOMIAL(ROUND(J280,0),N280))</f>
        <v>0</v>
      </c>
      <c r="N280" s="11">
        <f t="shared" si="67"/>
        <v>1.3308466217609727E-05</v>
      </c>
      <c r="O280" s="2">
        <f t="shared" si="68"/>
        <v>68</v>
      </c>
      <c r="P280" s="2">
        <f t="shared" si="69"/>
        <v>0</v>
      </c>
      <c r="Q280" s="10">
        <f>_XLL.RISKOUTPUT(,"Contaminated gloves during a shift",277)+P280/(O280+P280)</f>
        <v>0</v>
      </c>
      <c r="R280" s="2">
        <f>IF(O280&lt;1,0,_XLL.RISKBINOMIAL(ROUND(O280,0),S280))</f>
        <v>0</v>
      </c>
      <c r="S280" s="11">
        <f t="shared" si="61"/>
        <v>0.0002337817386286467</v>
      </c>
      <c r="U280" s="2">
        <f t="shared" si="56"/>
        <v>102</v>
      </c>
      <c r="V280" s="2">
        <f t="shared" si="57"/>
        <v>1224</v>
      </c>
      <c r="W280" s="2">
        <f t="shared" si="58"/>
        <v>68</v>
      </c>
    </row>
    <row r="281" spans="1:23" ht="12.75">
      <c r="A281">
        <v>1</v>
      </c>
      <c r="B281">
        <v>277</v>
      </c>
      <c r="C281" s="2">
        <f t="shared" si="62"/>
        <v>100.61538461538461</v>
      </c>
      <c r="D281" s="2">
        <f t="shared" si="63"/>
        <v>1.3846153846153846</v>
      </c>
      <c r="E281" s="2">
        <f t="shared" si="64"/>
        <v>10.061538461538461</v>
      </c>
      <c r="F281" s="2">
        <f t="shared" si="65"/>
        <v>0.13846153846153847</v>
      </c>
      <c r="G281" s="9">
        <f>_XLL.RISKOUTPUT(,"Contaminated food products during a shift",278)+D281/(C281+D281)</f>
        <v>0.013574660633484163</v>
      </c>
      <c r="H281" s="2">
        <f>IF(C281&lt;1,0,_XLL.RISKBINOMIAL(ROUND(C281,0),I281))</f>
        <v>0</v>
      </c>
      <c r="I281" s="8">
        <f t="shared" si="66"/>
        <v>5.569062148913506E-05</v>
      </c>
      <c r="J281" s="2">
        <f t="shared" si="59"/>
        <v>1220.7418090519864</v>
      </c>
      <c r="K281" s="2">
        <f t="shared" si="60"/>
        <v>3.2581909480136027</v>
      </c>
      <c r="L281" s="10">
        <f>_XLL.RISKOUTPUT(,"Contaminated food contact surfaces during a shift",278)+K281/(J281+K281)</f>
        <v>0.00266192070916144</v>
      </c>
      <c r="M281" s="2">
        <f>IF(J281&lt;1,0,_XLL.RISKBINOMIAL(ROUND(J281,0),N281))</f>
        <v>0</v>
      </c>
      <c r="N281" s="11">
        <f t="shared" si="67"/>
        <v>1.3308466217609727E-05</v>
      </c>
      <c r="O281" s="2">
        <f t="shared" si="68"/>
        <v>68</v>
      </c>
      <c r="P281" s="2">
        <f t="shared" si="69"/>
        <v>0</v>
      </c>
      <c r="Q281" s="10">
        <f>_XLL.RISKOUTPUT(,"Contaminated gloves during a shift",278)+P281/(O281+P281)</f>
        <v>0</v>
      </c>
      <c r="R281" s="2">
        <f>IF(O281&lt;1,0,_XLL.RISKBINOMIAL(ROUND(O281,0),S281))</f>
        <v>0</v>
      </c>
      <c r="S281" s="11">
        <f t="shared" si="61"/>
        <v>0.0002337817386286467</v>
      </c>
      <c r="U281" s="2">
        <f t="shared" si="56"/>
        <v>102</v>
      </c>
      <c r="V281" s="2">
        <f t="shared" si="57"/>
        <v>1224</v>
      </c>
      <c r="W281" s="2">
        <f t="shared" si="58"/>
        <v>68</v>
      </c>
    </row>
    <row r="282" spans="1:23" ht="12.75">
      <c r="A282">
        <v>1</v>
      </c>
      <c r="B282">
        <v>278</v>
      </c>
      <c r="C282" s="2">
        <f t="shared" si="62"/>
        <v>100.61538461538461</v>
      </c>
      <c r="D282" s="2">
        <f t="shared" si="63"/>
        <v>1.3846153846153846</v>
      </c>
      <c r="E282" s="2">
        <f t="shared" si="64"/>
        <v>10.061538461538461</v>
      </c>
      <c r="F282" s="2">
        <f t="shared" si="65"/>
        <v>0.13846153846153847</v>
      </c>
      <c r="G282" s="9">
        <f>_XLL.RISKOUTPUT(,"Contaminated food products during a shift",279)+D282/(C282+D282)</f>
        <v>0.013574660633484163</v>
      </c>
      <c r="H282" s="2">
        <f>IF(C282&lt;1,0,_XLL.RISKBINOMIAL(ROUND(C282,0),I282))</f>
        <v>0</v>
      </c>
      <c r="I282" s="8">
        <f t="shared" si="66"/>
        <v>5.569062148913506E-05</v>
      </c>
      <c r="J282" s="2">
        <f t="shared" si="59"/>
        <v>1220.7418090519864</v>
      </c>
      <c r="K282" s="2">
        <f t="shared" si="60"/>
        <v>3.2581909480136027</v>
      </c>
      <c r="L282" s="10">
        <f>_XLL.RISKOUTPUT(,"Contaminated food contact surfaces during a shift",279)+K282/(J282+K282)</f>
        <v>0.00266192070916144</v>
      </c>
      <c r="M282" s="2">
        <f>IF(J282&lt;1,0,_XLL.RISKBINOMIAL(ROUND(J282,0),N282))</f>
        <v>0</v>
      </c>
      <c r="N282" s="11">
        <f t="shared" si="67"/>
        <v>1.3308466217609727E-05</v>
      </c>
      <c r="O282" s="2">
        <f t="shared" si="68"/>
        <v>68</v>
      </c>
      <c r="P282" s="2">
        <f t="shared" si="69"/>
        <v>0</v>
      </c>
      <c r="Q282" s="10">
        <f>_XLL.RISKOUTPUT(,"Contaminated gloves during a shift",279)+P282/(O282+P282)</f>
        <v>0</v>
      </c>
      <c r="R282" s="2">
        <f>IF(O282&lt;1,0,_XLL.RISKBINOMIAL(ROUND(O282,0),S282))</f>
        <v>0</v>
      </c>
      <c r="S282" s="11">
        <f t="shared" si="61"/>
        <v>0.0002337817386286467</v>
      </c>
      <c r="U282" s="2">
        <f t="shared" si="56"/>
        <v>102</v>
      </c>
      <c r="V282" s="2">
        <f t="shared" si="57"/>
        <v>1224</v>
      </c>
      <c r="W282" s="2">
        <f t="shared" si="58"/>
        <v>68</v>
      </c>
    </row>
    <row r="283" spans="1:23" ht="12.75">
      <c r="A283">
        <v>1</v>
      </c>
      <c r="B283">
        <v>279</v>
      </c>
      <c r="C283" s="2">
        <f t="shared" si="62"/>
        <v>100.61538461538461</v>
      </c>
      <c r="D283" s="2">
        <f t="shared" si="63"/>
        <v>1.3846153846153846</v>
      </c>
      <c r="E283" s="2">
        <f t="shared" si="64"/>
        <v>10.061538461538461</v>
      </c>
      <c r="F283" s="2">
        <f t="shared" si="65"/>
        <v>0.13846153846153847</v>
      </c>
      <c r="G283" s="9">
        <f>_XLL.RISKOUTPUT(,"Contaminated food products during a shift",280)+D283/(C283+D283)</f>
        <v>0.013574660633484163</v>
      </c>
      <c r="H283" s="2">
        <f>IF(C283&lt;1,0,_XLL.RISKBINOMIAL(ROUND(C283,0),I283))</f>
        <v>0</v>
      </c>
      <c r="I283" s="8">
        <f t="shared" si="66"/>
        <v>5.569062148913506E-05</v>
      </c>
      <c r="J283" s="2">
        <f t="shared" si="59"/>
        <v>1220.7418090519864</v>
      </c>
      <c r="K283" s="2">
        <f t="shared" si="60"/>
        <v>3.2581909480136027</v>
      </c>
      <c r="L283" s="10">
        <f>_XLL.RISKOUTPUT(,"Contaminated food contact surfaces during a shift",280)+K283/(J283+K283)</f>
        <v>0.00266192070916144</v>
      </c>
      <c r="M283" s="2">
        <f>IF(J283&lt;1,0,_XLL.RISKBINOMIAL(ROUND(J283,0),N283))</f>
        <v>0</v>
      </c>
      <c r="N283" s="11">
        <f t="shared" si="67"/>
        <v>1.3308466217609727E-05</v>
      </c>
      <c r="O283" s="2">
        <f t="shared" si="68"/>
        <v>68</v>
      </c>
      <c r="P283" s="2">
        <f t="shared" si="69"/>
        <v>0</v>
      </c>
      <c r="Q283" s="10">
        <f>_XLL.RISKOUTPUT(,"Contaminated gloves during a shift",280)+P283/(O283+P283)</f>
        <v>0</v>
      </c>
      <c r="R283" s="2">
        <f>IF(O283&lt;1,0,_XLL.RISKBINOMIAL(ROUND(O283,0),S283))</f>
        <v>0</v>
      </c>
      <c r="S283" s="11">
        <f t="shared" si="61"/>
        <v>0.0002337817386286467</v>
      </c>
      <c r="U283" s="2">
        <f t="shared" si="56"/>
        <v>102</v>
      </c>
      <c r="V283" s="2">
        <f t="shared" si="57"/>
        <v>1224</v>
      </c>
      <c r="W283" s="2">
        <f t="shared" si="58"/>
        <v>68</v>
      </c>
    </row>
    <row r="284" spans="1:23" ht="12.75">
      <c r="A284">
        <v>1</v>
      </c>
      <c r="B284">
        <v>280</v>
      </c>
      <c r="C284" s="2">
        <f t="shared" si="62"/>
        <v>100.61538461538461</v>
      </c>
      <c r="D284" s="2">
        <f t="shared" si="63"/>
        <v>1.3846153846153846</v>
      </c>
      <c r="E284" s="2">
        <f t="shared" si="64"/>
        <v>10.061538461538461</v>
      </c>
      <c r="F284" s="2">
        <f t="shared" si="65"/>
        <v>0.13846153846153847</v>
      </c>
      <c r="G284" s="9">
        <f>_XLL.RISKOUTPUT(,"Contaminated food products during a shift",281)+D284/(C284+D284)</f>
        <v>0.013574660633484163</v>
      </c>
      <c r="H284" s="2">
        <f>IF(C284&lt;1,0,_XLL.RISKBINOMIAL(ROUND(C284,0),I284))</f>
        <v>0</v>
      </c>
      <c r="I284" s="8">
        <f t="shared" si="66"/>
        <v>5.569062148913506E-05</v>
      </c>
      <c r="J284" s="2">
        <f t="shared" si="59"/>
        <v>1220.7418090519864</v>
      </c>
      <c r="K284" s="2">
        <f t="shared" si="60"/>
        <v>3.2581909480136027</v>
      </c>
      <c r="L284" s="10">
        <f>_XLL.RISKOUTPUT(,"Contaminated food contact surfaces during a shift",281)+K284/(J284+K284)</f>
        <v>0.00266192070916144</v>
      </c>
      <c r="M284" s="2">
        <f>IF(J284&lt;1,0,_XLL.RISKBINOMIAL(ROUND(J284,0),N284))</f>
        <v>0</v>
      </c>
      <c r="N284" s="11">
        <f t="shared" si="67"/>
        <v>1.3308466217609727E-05</v>
      </c>
      <c r="O284" s="2">
        <f t="shared" si="68"/>
        <v>68</v>
      </c>
      <c r="P284" s="2">
        <f t="shared" si="69"/>
        <v>0</v>
      </c>
      <c r="Q284" s="10">
        <f>_XLL.RISKOUTPUT(,"Contaminated gloves during a shift",281)+P284/(O284+P284)</f>
        <v>0</v>
      </c>
      <c r="R284" s="2">
        <f>IF(O284&lt;1,0,_XLL.RISKBINOMIAL(ROUND(O284,0),S284))</f>
        <v>0</v>
      </c>
      <c r="S284" s="11">
        <f t="shared" si="61"/>
        <v>0.0002337817386286467</v>
      </c>
      <c r="U284" s="2">
        <f t="shared" si="56"/>
        <v>102</v>
      </c>
      <c r="V284" s="2">
        <f t="shared" si="57"/>
        <v>1224</v>
      </c>
      <c r="W284" s="2">
        <f t="shared" si="58"/>
        <v>68</v>
      </c>
    </row>
    <row r="285" spans="1:23" ht="12.75">
      <c r="A285">
        <v>1</v>
      </c>
      <c r="B285">
        <v>281</v>
      </c>
      <c r="C285" s="2">
        <f t="shared" si="62"/>
        <v>100.61538461538461</v>
      </c>
      <c r="D285" s="2">
        <f t="shared" si="63"/>
        <v>1.3846153846153846</v>
      </c>
      <c r="E285" s="2">
        <f t="shared" si="64"/>
        <v>10.061538461538461</v>
      </c>
      <c r="F285" s="2">
        <f t="shared" si="65"/>
        <v>0.13846153846153847</v>
      </c>
      <c r="G285" s="9">
        <f>_XLL.RISKOUTPUT(,"Contaminated food products during a shift",282)+D285/(C285+D285)</f>
        <v>0.013574660633484163</v>
      </c>
      <c r="H285" s="2">
        <f>IF(C285&lt;1,0,_XLL.RISKBINOMIAL(ROUND(C285,0),I285))</f>
        <v>0</v>
      </c>
      <c r="I285" s="8">
        <f t="shared" si="66"/>
        <v>5.569062148913506E-05</v>
      </c>
      <c r="J285" s="2">
        <f t="shared" si="59"/>
        <v>1220.7418090519864</v>
      </c>
      <c r="K285" s="2">
        <f t="shared" si="60"/>
        <v>3.2581909480136027</v>
      </c>
      <c r="L285" s="10">
        <f>_XLL.RISKOUTPUT(,"Contaminated food contact surfaces during a shift",282)+K285/(J285+K285)</f>
        <v>0.00266192070916144</v>
      </c>
      <c r="M285" s="2">
        <f>IF(J285&lt;1,0,_XLL.RISKBINOMIAL(ROUND(J285,0),N285))</f>
        <v>0</v>
      </c>
      <c r="N285" s="11">
        <f t="shared" si="67"/>
        <v>1.3308466217609727E-05</v>
      </c>
      <c r="O285" s="2">
        <f t="shared" si="68"/>
        <v>68</v>
      </c>
      <c r="P285" s="2">
        <f t="shared" si="69"/>
        <v>0</v>
      </c>
      <c r="Q285" s="10">
        <f>_XLL.RISKOUTPUT(,"Contaminated gloves during a shift",282)+P285/(O285+P285)</f>
        <v>0</v>
      </c>
      <c r="R285" s="2">
        <f>IF(O285&lt;1,0,_XLL.RISKBINOMIAL(ROUND(O285,0),S285))</f>
        <v>0</v>
      </c>
      <c r="S285" s="11">
        <f t="shared" si="61"/>
        <v>0.0002337817386286467</v>
      </c>
      <c r="U285" s="2">
        <f t="shared" si="56"/>
        <v>102</v>
      </c>
      <c r="V285" s="2">
        <f t="shared" si="57"/>
        <v>1224</v>
      </c>
      <c r="W285" s="2">
        <f t="shared" si="58"/>
        <v>68</v>
      </c>
    </row>
    <row r="286" spans="1:23" ht="12.75">
      <c r="A286">
        <v>1</v>
      </c>
      <c r="B286">
        <v>282</v>
      </c>
      <c r="C286" s="2">
        <f t="shared" si="62"/>
        <v>100.61538461538461</v>
      </c>
      <c r="D286" s="2">
        <f t="shared" si="63"/>
        <v>1.3846153846153846</v>
      </c>
      <c r="E286" s="2">
        <f t="shared" si="64"/>
        <v>10.061538461538461</v>
      </c>
      <c r="F286" s="2">
        <f t="shared" si="65"/>
        <v>0.13846153846153847</v>
      </c>
      <c r="G286" s="9">
        <f>_XLL.RISKOUTPUT(,"Contaminated food products during a shift",283)+D286/(C286+D286)</f>
        <v>0.013574660633484163</v>
      </c>
      <c r="H286" s="2">
        <f>IF(C286&lt;1,0,_XLL.RISKBINOMIAL(ROUND(C286,0),I286))</f>
        <v>0</v>
      </c>
      <c r="I286" s="8">
        <f t="shared" si="66"/>
        <v>5.569062148913506E-05</v>
      </c>
      <c r="J286" s="2">
        <f t="shared" si="59"/>
        <v>1220.7418090519864</v>
      </c>
      <c r="K286" s="2">
        <f t="shared" si="60"/>
        <v>3.2581909480136027</v>
      </c>
      <c r="L286" s="10">
        <f>_XLL.RISKOUTPUT(,"Contaminated food contact surfaces during a shift",283)+K286/(J286+K286)</f>
        <v>0.00266192070916144</v>
      </c>
      <c r="M286" s="2">
        <f>IF(J286&lt;1,0,_XLL.RISKBINOMIAL(ROUND(J286,0),N286))</f>
        <v>0</v>
      </c>
      <c r="N286" s="11">
        <f t="shared" si="67"/>
        <v>1.3308466217609727E-05</v>
      </c>
      <c r="O286" s="2">
        <f t="shared" si="68"/>
        <v>68</v>
      </c>
      <c r="P286" s="2">
        <f t="shared" si="69"/>
        <v>0</v>
      </c>
      <c r="Q286" s="10">
        <f>_XLL.RISKOUTPUT(,"Contaminated gloves during a shift",283)+P286/(O286+P286)</f>
        <v>0</v>
      </c>
      <c r="R286" s="2">
        <f>IF(O286&lt;1,0,_XLL.RISKBINOMIAL(ROUND(O286,0),S286))</f>
        <v>0</v>
      </c>
      <c r="S286" s="11">
        <f t="shared" si="61"/>
        <v>0.0002337817386286467</v>
      </c>
      <c r="U286" s="2">
        <f t="shared" si="56"/>
        <v>102</v>
      </c>
      <c r="V286" s="2">
        <f t="shared" si="57"/>
        <v>1224</v>
      </c>
      <c r="W286" s="2">
        <f t="shared" si="58"/>
        <v>68</v>
      </c>
    </row>
    <row r="287" spans="1:23" ht="12.75">
      <c r="A287">
        <v>1</v>
      </c>
      <c r="B287">
        <v>283</v>
      </c>
      <c r="C287" s="2">
        <f t="shared" si="62"/>
        <v>100.61538461538461</v>
      </c>
      <c r="D287" s="2">
        <f t="shared" si="63"/>
        <v>1.3846153846153846</v>
      </c>
      <c r="E287" s="2">
        <f t="shared" si="64"/>
        <v>10.061538461538461</v>
      </c>
      <c r="F287" s="2">
        <f t="shared" si="65"/>
        <v>0.13846153846153847</v>
      </c>
      <c r="G287" s="9">
        <f>_XLL.RISKOUTPUT(,"Contaminated food products during a shift",284)+D287/(C287+D287)</f>
        <v>0.013574660633484163</v>
      </c>
      <c r="H287" s="2">
        <f>IF(C287&lt;1,0,_XLL.RISKBINOMIAL(ROUND(C287,0),I287))</f>
        <v>0</v>
      </c>
      <c r="I287" s="8">
        <f t="shared" si="66"/>
        <v>5.569062148913506E-05</v>
      </c>
      <c r="J287" s="2">
        <f t="shared" si="59"/>
        <v>1220.7418090519864</v>
      </c>
      <c r="K287" s="2">
        <f t="shared" si="60"/>
        <v>3.2581909480136027</v>
      </c>
      <c r="L287" s="10">
        <f>_XLL.RISKOUTPUT(,"Contaminated food contact surfaces during a shift",284)+K287/(J287+K287)</f>
        <v>0.00266192070916144</v>
      </c>
      <c r="M287" s="2">
        <f>IF(J287&lt;1,0,_XLL.RISKBINOMIAL(ROUND(J287,0),N287))</f>
        <v>0</v>
      </c>
      <c r="N287" s="11">
        <f t="shared" si="67"/>
        <v>1.3308466217609727E-05</v>
      </c>
      <c r="O287" s="2">
        <f t="shared" si="68"/>
        <v>68</v>
      </c>
      <c r="P287" s="2">
        <f t="shared" si="69"/>
        <v>0</v>
      </c>
      <c r="Q287" s="10">
        <f>_XLL.RISKOUTPUT(,"Contaminated gloves during a shift",284)+P287/(O287+P287)</f>
        <v>0</v>
      </c>
      <c r="R287" s="2">
        <f>IF(O287&lt;1,0,_XLL.RISKBINOMIAL(ROUND(O287,0),S287))</f>
        <v>0</v>
      </c>
      <c r="S287" s="11">
        <f t="shared" si="61"/>
        <v>0.0002337817386286467</v>
      </c>
      <c r="U287" s="2">
        <f t="shared" si="56"/>
        <v>102</v>
      </c>
      <c r="V287" s="2">
        <f t="shared" si="57"/>
        <v>1224</v>
      </c>
      <c r="W287" s="2">
        <f t="shared" si="58"/>
        <v>68</v>
      </c>
    </row>
    <row r="288" spans="1:23" ht="12.75">
      <c r="A288">
        <v>1</v>
      </c>
      <c r="B288">
        <v>284</v>
      </c>
      <c r="C288" s="2">
        <f t="shared" si="62"/>
        <v>100.61538461538461</v>
      </c>
      <c r="D288" s="2">
        <f t="shared" si="63"/>
        <v>1.3846153846153846</v>
      </c>
      <c r="E288" s="2">
        <f t="shared" si="64"/>
        <v>10.061538461538461</v>
      </c>
      <c r="F288" s="2">
        <f t="shared" si="65"/>
        <v>0.13846153846153847</v>
      </c>
      <c r="G288" s="9">
        <f>_XLL.RISKOUTPUT(,"Contaminated food products during a shift",285)+D288/(C288+D288)</f>
        <v>0.013574660633484163</v>
      </c>
      <c r="H288" s="2">
        <f>IF(C288&lt;1,0,_XLL.RISKBINOMIAL(ROUND(C288,0),I288))</f>
        <v>0</v>
      </c>
      <c r="I288" s="8">
        <f t="shared" si="66"/>
        <v>5.569062148913506E-05</v>
      </c>
      <c r="J288" s="2">
        <f t="shared" si="59"/>
        <v>1220.7418090519864</v>
      </c>
      <c r="K288" s="2">
        <f t="shared" si="60"/>
        <v>3.2581909480136027</v>
      </c>
      <c r="L288" s="10">
        <f>_XLL.RISKOUTPUT(,"Contaminated food contact surfaces during a shift",285)+K288/(J288+K288)</f>
        <v>0.00266192070916144</v>
      </c>
      <c r="M288" s="2">
        <f>IF(J288&lt;1,0,_XLL.RISKBINOMIAL(ROUND(J288,0),N288))</f>
        <v>0</v>
      </c>
      <c r="N288" s="11">
        <f t="shared" si="67"/>
        <v>1.3308466217609727E-05</v>
      </c>
      <c r="O288" s="2">
        <f t="shared" si="68"/>
        <v>68</v>
      </c>
      <c r="P288" s="2">
        <f t="shared" si="69"/>
        <v>0</v>
      </c>
      <c r="Q288" s="10">
        <f>_XLL.RISKOUTPUT(,"Contaminated gloves during a shift",285)+P288/(O288+P288)</f>
        <v>0</v>
      </c>
      <c r="R288" s="2">
        <f>IF(O288&lt;1,0,_XLL.RISKBINOMIAL(ROUND(O288,0),S288))</f>
        <v>0</v>
      </c>
      <c r="S288" s="11">
        <f t="shared" si="61"/>
        <v>0.0002337817386286467</v>
      </c>
      <c r="U288" s="2">
        <f t="shared" si="56"/>
        <v>102</v>
      </c>
      <c r="V288" s="2">
        <f t="shared" si="57"/>
        <v>1224</v>
      </c>
      <c r="W288" s="2">
        <f t="shared" si="58"/>
        <v>68</v>
      </c>
    </row>
    <row r="289" spans="1:23" ht="12.75">
      <c r="A289">
        <v>1</v>
      </c>
      <c r="B289">
        <v>285</v>
      </c>
      <c r="C289" s="2">
        <f t="shared" si="62"/>
        <v>100.61538461538461</v>
      </c>
      <c r="D289" s="2">
        <f t="shared" si="63"/>
        <v>1.3846153846153846</v>
      </c>
      <c r="E289" s="2">
        <f t="shared" si="64"/>
        <v>10.061538461538461</v>
      </c>
      <c r="F289" s="2">
        <f t="shared" si="65"/>
        <v>0.13846153846153847</v>
      </c>
      <c r="G289" s="9">
        <f>_XLL.RISKOUTPUT(,"Contaminated food products during a shift",286)+D289/(C289+D289)</f>
        <v>0.013574660633484163</v>
      </c>
      <c r="H289" s="2">
        <f>IF(C289&lt;1,0,_XLL.RISKBINOMIAL(ROUND(C289,0),I289))</f>
        <v>0</v>
      </c>
      <c r="I289" s="8">
        <f t="shared" si="66"/>
        <v>5.569062148913506E-05</v>
      </c>
      <c r="J289" s="2">
        <f t="shared" si="59"/>
        <v>1220.7418090519864</v>
      </c>
      <c r="K289" s="2">
        <f t="shared" si="60"/>
        <v>3.2581909480136027</v>
      </c>
      <c r="L289" s="10">
        <f>_XLL.RISKOUTPUT(,"Contaminated food contact surfaces during a shift",286)+K289/(J289+K289)</f>
        <v>0.00266192070916144</v>
      </c>
      <c r="M289" s="2">
        <f>IF(J289&lt;1,0,_XLL.RISKBINOMIAL(ROUND(J289,0),N289))</f>
        <v>0</v>
      </c>
      <c r="N289" s="11">
        <f t="shared" si="67"/>
        <v>1.3308466217609727E-05</v>
      </c>
      <c r="O289" s="2">
        <f t="shared" si="68"/>
        <v>68</v>
      </c>
      <c r="P289" s="2">
        <f t="shared" si="69"/>
        <v>0</v>
      </c>
      <c r="Q289" s="10">
        <f>_XLL.RISKOUTPUT(,"Contaminated gloves during a shift",286)+P289/(O289+P289)</f>
        <v>0</v>
      </c>
      <c r="R289" s="2">
        <f>IF(O289&lt;1,0,_XLL.RISKBINOMIAL(ROUND(O289,0),S289))</f>
        <v>0</v>
      </c>
      <c r="S289" s="11">
        <f t="shared" si="61"/>
        <v>0.0002337817386286467</v>
      </c>
      <c r="U289" s="2">
        <f t="shared" si="56"/>
        <v>102</v>
      </c>
      <c r="V289" s="2">
        <f t="shared" si="57"/>
        <v>1224</v>
      </c>
      <c r="W289" s="2">
        <f t="shared" si="58"/>
        <v>68</v>
      </c>
    </row>
    <row r="290" spans="1:23" ht="12.75">
      <c r="A290">
        <v>1</v>
      </c>
      <c r="B290">
        <v>286</v>
      </c>
      <c r="C290" s="2">
        <f t="shared" si="62"/>
        <v>100.61538461538461</v>
      </c>
      <c r="D290" s="2">
        <f t="shared" si="63"/>
        <v>1.3846153846153846</v>
      </c>
      <c r="E290" s="2">
        <f t="shared" si="64"/>
        <v>10.061538461538461</v>
      </c>
      <c r="F290" s="2">
        <f t="shared" si="65"/>
        <v>0.13846153846153847</v>
      </c>
      <c r="G290" s="9">
        <f>_XLL.RISKOUTPUT(,"Contaminated food products during a shift",287)+D290/(C290+D290)</f>
        <v>0.013574660633484163</v>
      </c>
      <c r="H290" s="2">
        <f>IF(C290&lt;1,0,_XLL.RISKBINOMIAL(ROUND(C290,0),I290))</f>
        <v>0</v>
      </c>
      <c r="I290" s="8">
        <f t="shared" si="66"/>
        <v>5.569062148913506E-05</v>
      </c>
      <c r="J290" s="2">
        <f t="shared" si="59"/>
        <v>1220.7418090519864</v>
      </c>
      <c r="K290" s="2">
        <f t="shared" si="60"/>
        <v>3.2581909480136027</v>
      </c>
      <c r="L290" s="10">
        <f>_XLL.RISKOUTPUT(,"Contaminated food contact surfaces during a shift",287)+K290/(J290+K290)</f>
        <v>0.00266192070916144</v>
      </c>
      <c r="M290" s="2">
        <f>IF(J290&lt;1,0,_XLL.RISKBINOMIAL(ROUND(J290,0),N290))</f>
        <v>0</v>
      </c>
      <c r="N290" s="11">
        <f t="shared" si="67"/>
        <v>1.3308466217609727E-05</v>
      </c>
      <c r="O290" s="2">
        <f t="shared" si="68"/>
        <v>68</v>
      </c>
      <c r="P290" s="2">
        <f t="shared" si="69"/>
        <v>0</v>
      </c>
      <c r="Q290" s="10">
        <f>_XLL.RISKOUTPUT(,"Contaminated gloves during a shift",287)+P290/(O290+P290)</f>
        <v>0</v>
      </c>
      <c r="R290" s="2">
        <f>IF(O290&lt;1,0,_XLL.RISKBINOMIAL(ROUND(O290,0),S290))</f>
        <v>0</v>
      </c>
      <c r="S290" s="11">
        <f t="shared" si="61"/>
        <v>0.0002337817386286467</v>
      </c>
      <c r="U290" s="2">
        <f t="shared" si="56"/>
        <v>102</v>
      </c>
      <c r="V290" s="2">
        <f t="shared" si="57"/>
        <v>1224</v>
      </c>
      <c r="W290" s="2">
        <f t="shared" si="58"/>
        <v>68</v>
      </c>
    </row>
    <row r="291" spans="1:23" ht="12.75">
      <c r="A291">
        <v>1</v>
      </c>
      <c r="B291">
        <v>287</v>
      </c>
      <c r="C291" s="2">
        <f t="shared" si="62"/>
        <v>100.61538461538461</v>
      </c>
      <c r="D291" s="2">
        <f t="shared" si="63"/>
        <v>1.3846153846153846</v>
      </c>
      <c r="E291" s="2">
        <f t="shared" si="64"/>
        <v>10.061538461538461</v>
      </c>
      <c r="F291" s="2">
        <f t="shared" si="65"/>
        <v>0.13846153846153847</v>
      </c>
      <c r="G291" s="9">
        <f>_XLL.RISKOUTPUT(,"Contaminated food products during a shift",288)+D291/(C291+D291)</f>
        <v>0.013574660633484163</v>
      </c>
      <c r="H291" s="2">
        <f>IF(C291&lt;1,0,_XLL.RISKBINOMIAL(ROUND(C291,0),I291))</f>
        <v>0</v>
      </c>
      <c r="I291" s="8">
        <f t="shared" si="66"/>
        <v>5.569062148913506E-05</v>
      </c>
      <c r="J291" s="2">
        <f t="shared" si="59"/>
        <v>1220.7418090519864</v>
      </c>
      <c r="K291" s="2">
        <f t="shared" si="60"/>
        <v>3.2581909480136027</v>
      </c>
      <c r="L291" s="10">
        <f>_XLL.RISKOUTPUT(,"Contaminated food contact surfaces during a shift",288)+K291/(J291+K291)</f>
        <v>0.00266192070916144</v>
      </c>
      <c r="M291" s="2">
        <f>IF(J291&lt;1,0,_XLL.RISKBINOMIAL(ROUND(J291,0),N291))</f>
        <v>0</v>
      </c>
      <c r="N291" s="11">
        <f t="shared" si="67"/>
        <v>1.3308466217609727E-05</v>
      </c>
      <c r="O291" s="2">
        <f t="shared" si="68"/>
        <v>68</v>
      </c>
      <c r="P291" s="2">
        <f t="shared" si="69"/>
        <v>0</v>
      </c>
      <c r="Q291" s="10">
        <f>_XLL.RISKOUTPUT(,"Contaminated gloves during a shift",288)+P291/(O291+P291)</f>
        <v>0</v>
      </c>
      <c r="R291" s="2">
        <f>IF(O291&lt;1,0,_XLL.RISKBINOMIAL(ROUND(O291,0),S291))</f>
        <v>0</v>
      </c>
      <c r="S291" s="11">
        <f t="shared" si="61"/>
        <v>0.0002337817386286467</v>
      </c>
      <c r="U291" s="2">
        <f t="shared" si="56"/>
        <v>102</v>
      </c>
      <c r="V291" s="2">
        <f t="shared" si="57"/>
        <v>1224</v>
      </c>
      <c r="W291" s="2">
        <f t="shared" si="58"/>
        <v>68</v>
      </c>
    </row>
    <row r="292" spans="1:23" ht="12.75">
      <c r="A292">
        <v>1</v>
      </c>
      <c r="B292">
        <v>288</v>
      </c>
      <c r="C292" s="2">
        <f t="shared" si="62"/>
        <v>100.61538461538461</v>
      </c>
      <c r="D292" s="2">
        <f t="shared" si="63"/>
        <v>1.3846153846153846</v>
      </c>
      <c r="E292" s="2">
        <f t="shared" si="64"/>
        <v>10.061538461538461</v>
      </c>
      <c r="F292" s="2">
        <f t="shared" si="65"/>
        <v>0.13846153846153847</v>
      </c>
      <c r="G292" s="9">
        <f>_XLL.RISKOUTPUT(,"Contaminated food products during a shift",289)+D292/(C292+D292)</f>
        <v>0.013574660633484163</v>
      </c>
      <c r="H292" s="2">
        <f>IF(C292&lt;1,0,_XLL.RISKBINOMIAL(ROUND(C292,0),I292))</f>
        <v>0</v>
      </c>
      <c r="I292" s="8">
        <f t="shared" si="66"/>
        <v>5.569062148913506E-05</v>
      </c>
      <c r="J292" s="2">
        <f t="shared" si="59"/>
        <v>1220.7418090519864</v>
      </c>
      <c r="K292" s="2">
        <f t="shared" si="60"/>
        <v>3.2581909480136027</v>
      </c>
      <c r="L292" s="10">
        <f>_XLL.RISKOUTPUT(,"Contaminated food contact surfaces during a shift",289)+K292/(J292+K292)</f>
        <v>0.00266192070916144</v>
      </c>
      <c r="M292" s="2">
        <f>IF(J292&lt;1,0,_XLL.RISKBINOMIAL(ROUND(J292,0),N292))</f>
        <v>0</v>
      </c>
      <c r="N292" s="11">
        <f t="shared" si="67"/>
        <v>1.3308466217609727E-05</v>
      </c>
      <c r="O292" s="2">
        <f t="shared" si="68"/>
        <v>68</v>
      </c>
      <c r="P292" s="2">
        <f t="shared" si="69"/>
        <v>0</v>
      </c>
      <c r="Q292" s="10">
        <f>_XLL.RISKOUTPUT(,"Contaminated gloves during a shift",289)+P292/(O292+P292)</f>
        <v>0</v>
      </c>
      <c r="R292" s="2">
        <f>IF(O292&lt;1,0,_XLL.RISKBINOMIAL(ROUND(O292,0),S292))</f>
        <v>0</v>
      </c>
      <c r="S292" s="11">
        <f t="shared" si="61"/>
        <v>0.0002337817386286467</v>
      </c>
      <c r="U292" s="2">
        <f t="shared" si="56"/>
        <v>102</v>
      </c>
      <c r="V292" s="2">
        <f t="shared" si="57"/>
        <v>1224</v>
      </c>
      <c r="W292" s="2">
        <f t="shared" si="58"/>
        <v>68</v>
      </c>
    </row>
    <row r="293" spans="1:23" ht="12.75">
      <c r="A293">
        <v>1</v>
      </c>
      <c r="B293">
        <v>289</v>
      </c>
      <c r="C293" s="2">
        <f t="shared" si="62"/>
        <v>100.61538461538461</v>
      </c>
      <c r="D293" s="2">
        <f t="shared" si="63"/>
        <v>1.3846153846153846</v>
      </c>
      <c r="E293" s="2">
        <f t="shared" si="64"/>
        <v>10.061538461538461</v>
      </c>
      <c r="F293" s="2">
        <f t="shared" si="65"/>
        <v>0.13846153846153847</v>
      </c>
      <c r="G293" s="9">
        <f>_XLL.RISKOUTPUT(,"Contaminated food products during a shift",290)+D293/(C293+D293)</f>
        <v>0.013574660633484163</v>
      </c>
      <c r="H293" s="2">
        <f>IF(C293&lt;1,0,_XLL.RISKBINOMIAL(ROUND(C293,0),I293))</f>
        <v>0</v>
      </c>
      <c r="I293" s="8">
        <f t="shared" si="66"/>
        <v>5.569062148913506E-05</v>
      </c>
      <c r="J293" s="2">
        <f t="shared" si="59"/>
        <v>1220.7418090519864</v>
      </c>
      <c r="K293" s="2">
        <f t="shared" si="60"/>
        <v>3.2581909480136027</v>
      </c>
      <c r="L293" s="10">
        <f>_XLL.RISKOUTPUT(,"Contaminated food contact surfaces during a shift",290)+K293/(J293+K293)</f>
        <v>0.00266192070916144</v>
      </c>
      <c r="M293" s="2">
        <f>IF(J293&lt;1,0,_XLL.RISKBINOMIAL(ROUND(J293,0),N293))</f>
        <v>0</v>
      </c>
      <c r="N293" s="11">
        <f t="shared" si="67"/>
        <v>1.3308466217609727E-05</v>
      </c>
      <c r="O293" s="2">
        <f t="shared" si="68"/>
        <v>68</v>
      </c>
      <c r="P293" s="2">
        <f t="shared" si="69"/>
        <v>0</v>
      </c>
      <c r="Q293" s="10">
        <f>_XLL.RISKOUTPUT(,"Contaminated gloves during a shift",290)+P293/(O293+P293)</f>
        <v>0</v>
      </c>
      <c r="R293" s="2">
        <f>IF(O293&lt;1,0,_XLL.RISKBINOMIAL(ROUND(O293,0),S293))</f>
        <v>0</v>
      </c>
      <c r="S293" s="11">
        <f t="shared" si="61"/>
        <v>0.0002337817386286467</v>
      </c>
      <c r="U293" s="2">
        <f t="shared" si="56"/>
        <v>102</v>
      </c>
      <c r="V293" s="2">
        <f t="shared" si="57"/>
        <v>1224</v>
      </c>
      <c r="W293" s="2">
        <f t="shared" si="58"/>
        <v>68</v>
      </c>
    </row>
    <row r="294" spans="1:23" ht="12.75">
      <c r="A294">
        <v>1</v>
      </c>
      <c r="B294">
        <v>290</v>
      </c>
      <c r="C294" s="2">
        <f t="shared" si="62"/>
        <v>100.61538461538461</v>
      </c>
      <c r="D294" s="2">
        <f t="shared" si="63"/>
        <v>1.3846153846153846</v>
      </c>
      <c r="E294" s="2">
        <f t="shared" si="64"/>
        <v>10.061538461538461</v>
      </c>
      <c r="F294" s="2">
        <f t="shared" si="65"/>
        <v>0.13846153846153847</v>
      </c>
      <c r="G294" s="9">
        <f>_XLL.RISKOUTPUT(,"Contaminated food products during a shift",291)+D294/(C294+D294)</f>
        <v>0.013574660633484163</v>
      </c>
      <c r="H294" s="2">
        <f>IF(C294&lt;1,0,_XLL.RISKBINOMIAL(ROUND(C294,0),I294))</f>
        <v>0</v>
      </c>
      <c r="I294" s="8">
        <f t="shared" si="66"/>
        <v>5.569062148913506E-05</v>
      </c>
      <c r="J294" s="2">
        <f t="shared" si="59"/>
        <v>1220.7418090519864</v>
      </c>
      <c r="K294" s="2">
        <f t="shared" si="60"/>
        <v>3.2581909480136027</v>
      </c>
      <c r="L294" s="10">
        <f>_XLL.RISKOUTPUT(,"Contaminated food contact surfaces during a shift",291)+K294/(J294+K294)</f>
        <v>0.00266192070916144</v>
      </c>
      <c r="M294" s="2">
        <f>IF(J294&lt;1,0,_XLL.RISKBINOMIAL(ROUND(J294,0),N294))</f>
        <v>0</v>
      </c>
      <c r="N294" s="11">
        <f t="shared" si="67"/>
        <v>1.3308466217609727E-05</v>
      </c>
      <c r="O294" s="2">
        <f t="shared" si="68"/>
        <v>68</v>
      </c>
      <c r="P294" s="2">
        <f t="shared" si="69"/>
        <v>0</v>
      </c>
      <c r="Q294" s="10">
        <f>_XLL.RISKOUTPUT(,"Contaminated gloves during a shift",291)+P294/(O294+P294)</f>
        <v>0</v>
      </c>
      <c r="R294" s="2">
        <f>IF(O294&lt;1,0,_XLL.RISKBINOMIAL(ROUND(O294,0),S294))</f>
        <v>0</v>
      </c>
      <c r="S294" s="11">
        <f t="shared" si="61"/>
        <v>0.0002337817386286467</v>
      </c>
      <c r="U294" s="2">
        <f t="shared" si="56"/>
        <v>102</v>
      </c>
      <c r="V294" s="2">
        <f t="shared" si="57"/>
        <v>1224</v>
      </c>
      <c r="W294" s="2">
        <f t="shared" si="58"/>
        <v>68</v>
      </c>
    </row>
    <row r="295" spans="1:23" ht="12.75">
      <c r="A295">
        <v>1</v>
      </c>
      <c r="B295">
        <v>291</v>
      </c>
      <c r="C295" s="2">
        <f t="shared" si="62"/>
        <v>100.61538461538461</v>
      </c>
      <c r="D295" s="2">
        <f t="shared" si="63"/>
        <v>1.3846153846153846</v>
      </c>
      <c r="E295" s="2">
        <f t="shared" si="64"/>
        <v>10.061538461538461</v>
      </c>
      <c r="F295" s="2">
        <f t="shared" si="65"/>
        <v>0.13846153846153847</v>
      </c>
      <c r="G295" s="9">
        <f>_XLL.RISKOUTPUT(,"Contaminated food products during a shift",292)+D295/(C295+D295)</f>
        <v>0.013574660633484163</v>
      </c>
      <c r="H295" s="2">
        <f>IF(C295&lt;1,0,_XLL.RISKBINOMIAL(ROUND(C295,0),I295))</f>
        <v>0</v>
      </c>
      <c r="I295" s="8">
        <f t="shared" si="66"/>
        <v>5.569062148913506E-05</v>
      </c>
      <c r="J295" s="2">
        <f t="shared" si="59"/>
        <v>1220.7418090519864</v>
      </c>
      <c r="K295" s="2">
        <f t="shared" si="60"/>
        <v>3.2581909480136027</v>
      </c>
      <c r="L295" s="10">
        <f>_XLL.RISKOUTPUT(,"Contaminated food contact surfaces during a shift",292)+K295/(J295+K295)</f>
        <v>0.00266192070916144</v>
      </c>
      <c r="M295" s="2">
        <f>IF(J295&lt;1,0,_XLL.RISKBINOMIAL(ROUND(J295,0),N295))</f>
        <v>0</v>
      </c>
      <c r="N295" s="11">
        <f t="shared" si="67"/>
        <v>1.3308466217609727E-05</v>
      </c>
      <c r="O295" s="2">
        <f t="shared" si="68"/>
        <v>68</v>
      </c>
      <c r="P295" s="2">
        <f t="shared" si="69"/>
        <v>0</v>
      </c>
      <c r="Q295" s="10">
        <f>_XLL.RISKOUTPUT(,"Contaminated gloves during a shift",292)+P295/(O295+P295)</f>
        <v>0</v>
      </c>
      <c r="R295" s="2">
        <f>IF(O295&lt;1,0,_XLL.RISKBINOMIAL(ROUND(O295,0),S295))</f>
        <v>0</v>
      </c>
      <c r="S295" s="11">
        <f t="shared" si="61"/>
        <v>0.0002337817386286467</v>
      </c>
      <c r="U295" s="2">
        <f t="shared" si="56"/>
        <v>102</v>
      </c>
      <c r="V295" s="2">
        <f t="shared" si="57"/>
        <v>1224</v>
      </c>
      <c r="W295" s="2">
        <f t="shared" si="58"/>
        <v>68</v>
      </c>
    </row>
    <row r="296" spans="1:23" ht="12.75">
      <c r="A296">
        <v>1</v>
      </c>
      <c r="B296">
        <v>292</v>
      </c>
      <c r="C296" s="2">
        <f t="shared" si="62"/>
        <v>100.61538461538461</v>
      </c>
      <c r="D296" s="2">
        <f t="shared" si="63"/>
        <v>1.3846153846153846</v>
      </c>
      <c r="E296" s="2">
        <f t="shared" si="64"/>
        <v>10.061538461538461</v>
      </c>
      <c r="F296" s="2">
        <f t="shared" si="65"/>
        <v>0.13846153846153847</v>
      </c>
      <c r="G296" s="9">
        <f>_XLL.RISKOUTPUT(,"Contaminated food products during a shift",293)+D296/(C296+D296)</f>
        <v>0.013574660633484163</v>
      </c>
      <c r="H296" s="2">
        <f>IF(C296&lt;1,0,_XLL.RISKBINOMIAL(ROUND(C296,0),I296))</f>
        <v>0</v>
      </c>
      <c r="I296" s="8">
        <f t="shared" si="66"/>
        <v>5.569062148913506E-05</v>
      </c>
      <c r="J296" s="2">
        <f t="shared" si="59"/>
        <v>1220.7418090519864</v>
      </c>
      <c r="K296" s="2">
        <f t="shared" si="60"/>
        <v>3.2581909480136027</v>
      </c>
      <c r="L296" s="10">
        <f>_XLL.RISKOUTPUT(,"Contaminated food contact surfaces during a shift",293)+K296/(J296+K296)</f>
        <v>0.00266192070916144</v>
      </c>
      <c r="M296" s="2">
        <f>IF(J296&lt;1,0,_XLL.RISKBINOMIAL(ROUND(J296,0),N296))</f>
        <v>0</v>
      </c>
      <c r="N296" s="11">
        <f t="shared" si="67"/>
        <v>1.3308466217609727E-05</v>
      </c>
      <c r="O296" s="2">
        <f t="shared" si="68"/>
        <v>68</v>
      </c>
      <c r="P296" s="2">
        <f t="shared" si="69"/>
        <v>0</v>
      </c>
      <c r="Q296" s="10">
        <f>_XLL.RISKOUTPUT(,"Contaminated gloves during a shift",293)+P296/(O296+P296)</f>
        <v>0</v>
      </c>
      <c r="R296" s="2">
        <f>IF(O296&lt;1,0,_XLL.RISKBINOMIAL(ROUND(O296,0),S296))</f>
        <v>0</v>
      </c>
      <c r="S296" s="11">
        <f t="shared" si="61"/>
        <v>0.0002337817386286467</v>
      </c>
      <c r="U296" s="2">
        <f t="shared" si="56"/>
        <v>102</v>
      </c>
      <c r="V296" s="2">
        <f t="shared" si="57"/>
        <v>1224</v>
      </c>
      <c r="W296" s="2">
        <f t="shared" si="58"/>
        <v>68</v>
      </c>
    </row>
    <row r="297" spans="1:23" ht="12.75">
      <c r="A297">
        <v>1</v>
      </c>
      <c r="B297">
        <v>293</v>
      </c>
      <c r="C297" s="2">
        <f t="shared" si="62"/>
        <v>100.61538461538461</v>
      </c>
      <c r="D297" s="2">
        <f t="shared" si="63"/>
        <v>1.3846153846153846</v>
      </c>
      <c r="E297" s="2">
        <f t="shared" si="64"/>
        <v>10.061538461538461</v>
      </c>
      <c r="F297" s="2">
        <f t="shared" si="65"/>
        <v>0.13846153846153847</v>
      </c>
      <c r="G297" s="9">
        <f>_XLL.RISKOUTPUT(,"Contaminated food products during a shift",294)+D297/(C297+D297)</f>
        <v>0.013574660633484163</v>
      </c>
      <c r="H297" s="2">
        <f>IF(C297&lt;1,0,_XLL.RISKBINOMIAL(ROUND(C297,0),I297))</f>
        <v>0</v>
      </c>
      <c r="I297" s="8">
        <f t="shared" si="66"/>
        <v>5.569062148913506E-05</v>
      </c>
      <c r="J297" s="2">
        <f t="shared" si="59"/>
        <v>1220.7418090519864</v>
      </c>
      <c r="K297" s="2">
        <f t="shared" si="60"/>
        <v>3.2581909480136027</v>
      </c>
      <c r="L297" s="10">
        <f>_XLL.RISKOUTPUT(,"Contaminated food contact surfaces during a shift",294)+K297/(J297+K297)</f>
        <v>0.00266192070916144</v>
      </c>
      <c r="M297" s="2">
        <f>IF(J297&lt;1,0,_XLL.RISKBINOMIAL(ROUND(J297,0),N297))</f>
        <v>0</v>
      </c>
      <c r="N297" s="11">
        <f t="shared" si="67"/>
        <v>1.3308466217609727E-05</v>
      </c>
      <c r="O297" s="2">
        <f t="shared" si="68"/>
        <v>68</v>
      </c>
      <c r="P297" s="2">
        <f t="shared" si="69"/>
        <v>0</v>
      </c>
      <c r="Q297" s="10">
        <f>_XLL.RISKOUTPUT(,"Contaminated gloves during a shift",294)+P297/(O297+P297)</f>
        <v>0</v>
      </c>
      <c r="R297" s="2">
        <f>IF(O297&lt;1,0,_XLL.RISKBINOMIAL(ROUND(O297,0),S297))</f>
        <v>0</v>
      </c>
      <c r="S297" s="11">
        <f t="shared" si="61"/>
        <v>0.0002337817386286467</v>
      </c>
      <c r="U297" s="2">
        <f t="shared" si="56"/>
        <v>102</v>
      </c>
      <c r="V297" s="2">
        <f t="shared" si="57"/>
        <v>1224</v>
      </c>
      <c r="W297" s="2">
        <f t="shared" si="58"/>
        <v>68</v>
      </c>
    </row>
    <row r="298" spans="1:23" ht="12.75">
      <c r="A298">
        <v>1</v>
      </c>
      <c r="B298">
        <v>294</v>
      </c>
      <c r="C298" s="2">
        <f t="shared" si="62"/>
        <v>100.61538461538461</v>
      </c>
      <c r="D298" s="2">
        <f t="shared" si="63"/>
        <v>1.3846153846153846</v>
      </c>
      <c r="E298" s="2">
        <f t="shared" si="64"/>
        <v>10.061538461538461</v>
      </c>
      <c r="F298" s="2">
        <f t="shared" si="65"/>
        <v>0.13846153846153847</v>
      </c>
      <c r="G298" s="9">
        <f>_XLL.RISKOUTPUT(,"Contaminated food products during a shift",295)+D298/(C298+D298)</f>
        <v>0.013574660633484163</v>
      </c>
      <c r="H298" s="2">
        <f>IF(C298&lt;1,0,_XLL.RISKBINOMIAL(ROUND(C298,0),I298))</f>
        <v>0</v>
      </c>
      <c r="I298" s="8">
        <f t="shared" si="66"/>
        <v>5.569062148913506E-05</v>
      </c>
      <c r="J298" s="2">
        <f t="shared" si="59"/>
        <v>1220.7418090519864</v>
      </c>
      <c r="K298" s="2">
        <f t="shared" si="60"/>
        <v>3.2581909480136027</v>
      </c>
      <c r="L298" s="10">
        <f>_XLL.RISKOUTPUT(,"Contaminated food contact surfaces during a shift",295)+K298/(J298+K298)</f>
        <v>0.00266192070916144</v>
      </c>
      <c r="M298" s="2">
        <f>IF(J298&lt;1,0,_XLL.RISKBINOMIAL(ROUND(J298,0),N298))</f>
        <v>0</v>
      </c>
      <c r="N298" s="11">
        <f t="shared" si="67"/>
        <v>1.3308466217609727E-05</v>
      </c>
      <c r="O298" s="2">
        <f t="shared" si="68"/>
        <v>68</v>
      </c>
      <c r="P298" s="2">
        <f t="shared" si="69"/>
        <v>0</v>
      </c>
      <c r="Q298" s="10">
        <f>_XLL.RISKOUTPUT(,"Contaminated gloves during a shift",295)+P298/(O298+P298)</f>
        <v>0</v>
      </c>
      <c r="R298" s="2">
        <f>IF(O298&lt;1,0,_XLL.RISKBINOMIAL(ROUND(O298,0),S298))</f>
        <v>0</v>
      </c>
      <c r="S298" s="11">
        <f t="shared" si="61"/>
        <v>0.0002337817386286467</v>
      </c>
      <c r="U298" s="2">
        <f t="shared" si="56"/>
        <v>102</v>
      </c>
      <c r="V298" s="2">
        <f t="shared" si="57"/>
        <v>1224</v>
      </c>
      <c r="W298" s="2">
        <f t="shared" si="58"/>
        <v>68</v>
      </c>
    </row>
    <row r="299" spans="1:23" ht="12.75">
      <c r="A299">
        <v>1</v>
      </c>
      <c r="B299">
        <v>295</v>
      </c>
      <c r="C299" s="2">
        <f t="shared" si="62"/>
        <v>100.61538461538461</v>
      </c>
      <c r="D299" s="2">
        <f t="shared" si="63"/>
        <v>1.3846153846153846</v>
      </c>
      <c r="E299" s="2">
        <f t="shared" si="64"/>
        <v>10.061538461538461</v>
      </c>
      <c r="F299" s="2">
        <f t="shared" si="65"/>
        <v>0.13846153846153847</v>
      </c>
      <c r="G299" s="9">
        <f>_XLL.RISKOUTPUT(,"Contaminated food products during a shift",296)+D299/(C299+D299)</f>
        <v>0.013574660633484163</v>
      </c>
      <c r="H299" s="2">
        <f>IF(C299&lt;1,0,_XLL.RISKBINOMIAL(ROUND(C299,0),I299))</f>
        <v>0</v>
      </c>
      <c r="I299" s="8">
        <f t="shared" si="66"/>
        <v>5.569062148913506E-05</v>
      </c>
      <c r="J299" s="2">
        <f t="shared" si="59"/>
        <v>1220.7418090519864</v>
      </c>
      <c r="K299" s="2">
        <f t="shared" si="60"/>
        <v>3.2581909480136027</v>
      </c>
      <c r="L299" s="10">
        <f>_XLL.RISKOUTPUT(,"Contaminated food contact surfaces during a shift",296)+K299/(J299+K299)</f>
        <v>0.00266192070916144</v>
      </c>
      <c r="M299" s="2">
        <f>IF(J299&lt;1,0,_XLL.RISKBINOMIAL(ROUND(J299,0),N299))</f>
        <v>0</v>
      </c>
      <c r="N299" s="11">
        <f t="shared" si="67"/>
        <v>1.3308466217609727E-05</v>
      </c>
      <c r="O299" s="2">
        <f t="shared" si="68"/>
        <v>68</v>
      </c>
      <c r="P299" s="2">
        <f t="shared" si="69"/>
        <v>0</v>
      </c>
      <c r="Q299" s="10">
        <f>_XLL.RISKOUTPUT(,"Contaminated gloves during a shift",296)+P299/(O299+P299)</f>
        <v>0</v>
      </c>
      <c r="R299" s="2">
        <f>IF(O299&lt;1,0,_XLL.RISKBINOMIAL(ROUND(O299,0),S299))</f>
        <v>0</v>
      </c>
      <c r="S299" s="11">
        <f t="shared" si="61"/>
        <v>0.0002337817386286467</v>
      </c>
      <c r="U299" s="2">
        <f t="shared" si="56"/>
        <v>102</v>
      </c>
      <c r="V299" s="2">
        <f t="shared" si="57"/>
        <v>1224</v>
      </c>
      <c r="W299" s="2">
        <f t="shared" si="58"/>
        <v>68</v>
      </c>
    </row>
    <row r="300" spans="1:23" ht="12.75">
      <c r="A300">
        <v>1</v>
      </c>
      <c r="B300">
        <v>296</v>
      </c>
      <c r="C300" s="2">
        <f t="shared" si="62"/>
        <v>100.61538461538461</v>
      </c>
      <c r="D300" s="2">
        <f t="shared" si="63"/>
        <v>1.3846153846153846</v>
      </c>
      <c r="E300" s="2">
        <f t="shared" si="64"/>
        <v>10.061538461538461</v>
      </c>
      <c r="F300" s="2">
        <f t="shared" si="65"/>
        <v>0.13846153846153847</v>
      </c>
      <c r="G300" s="9">
        <f>_XLL.RISKOUTPUT(,"Contaminated food products during a shift",297)+D300/(C300+D300)</f>
        <v>0.013574660633484163</v>
      </c>
      <c r="H300" s="2">
        <f>IF(C300&lt;1,0,_XLL.RISKBINOMIAL(ROUND(C300,0),I300))</f>
        <v>0</v>
      </c>
      <c r="I300" s="8">
        <f t="shared" si="66"/>
        <v>5.569062148913506E-05</v>
      </c>
      <c r="J300" s="2">
        <f t="shared" si="59"/>
        <v>1220.7418090519864</v>
      </c>
      <c r="K300" s="2">
        <f t="shared" si="60"/>
        <v>3.2581909480136027</v>
      </c>
      <c r="L300" s="10">
        <f>_XLL.RISKOUTPUT(,"Contaminated food contact surfaces during a shift",297)+K300/(J300+K300)</f>
        <v>0.00266192070916144</v>
      </c>
      <c r="M300" s="2">
        <f>IF(J300&lt;1,0,_XLL.RISKBINOMIAL(ROUND(J300,0),N300))</f>
        <v>0</v>
      </c>
      <c r="N300" s="11">
        <f t="shared" si="67"/>
        <v>1.3308466217609727E-05</v>
      </c>
      <c r="O300" s="2">
        <f t="shared" si="68"/>
        <v>68</v>
      </c>
      <c r="P300" s="2">
        <f t="shared" si="69"/>
        <v>0</v>
      </c>
      <c r="Q300" s="10">
        <f>_XLL.RISKOUTPUT(,"Contaminated gloves during a shift",297)+P300/(O300+P300)</f>
        <v>0</v>
      </c>
      <c r="R300" s="2">
        <f>IF(O300&lt;1,0,_XLL.RISKBINOMIAL(ROUND(O300,0),S300))</f>
        <v>0</v>
      </c>
      <c r="S300" s="11">
        <f t="shared" si="61"/>
        <v>0.0002337817386286467</v>
      </c>
      <c r="U300" s="2">
        <f t="shared" si="56"/>
        <v>102</v>
      </c>
      <c r="V300" s="2">
        <f t="shared" si="57"/>
        <v>1224</v>
      </c>
      <c r="W300" s="2">
        <f t="shared" si="58"/>
        <v>68</v>
      </c>
    </row>
    <row r="301" spans="1:23" ht="12.75">
      <c r="A301">
        <v>1</v>
      </c>
      <c r="B301">
        <v>297</v>
      </c>
      <c r="C301" s="2">
        <f t="shared" si="62"/>
        <v>100.61538461538461</v>
      </c>
      <c r="D301" s="2">
        <f t="shared" si="63"/>
        <v>1.3846153846153846</v>
      </c>
      <c r="E301" s="2">
        <f t="shared" si="64"/>
        <v>10.061538461538461</v>
      </c>
      <c r="F301" s="2">
        <f t="shared" si="65"/>
        <v>0.13846153846153847</v>
      </c>
      <c r="G301" s="9">
        <f>_XLL.RISKOUTPUT(,"Contaminated food products during a shift",298)+D301/(C301+D301)</f>
        <v>0.013574660633484163</v>
      </c>
      <c r="H301" s="2">
        <f>IF(C301&lt;1,0,_XLL.RISKBINOMIAL(ROUND(C301,0),I301))</f>
        <v>0</v>
      </c>
      <c r="I301" s="8">
        <f t="shared" si="66"/>
        <v>5.569062148913506E-05</v>
      </c>
      <c r="J301" s="2">
        <f t="shared" si="59"/>
        <v>1220.7418090519864</v>
      </c>
      <c r="K301" s="2">
        <f t="shared" si="60"/>
        <v>3.2581909480136027</v>
      </c>
      <c r="L301" s="10">
        <f>_XLL.RISKOUTPUT(,"Contaminated food contact surfaces during a shift",298)+K301/(J301+K301)</f>
        <v>0.00266192070916144</v>
      </c>
      <c r="M301" s="2">
        <f>IF(J301&lt;1,0,_XLL.RISKBINOMIAL(ROUND(J301,0),N301))</f>
        <v>0</v>
      </c>
      <c r="N301" s="11">
        <f t="shared" si="67"/>
        <v>1.3308466217609727E-05</v>
      </c>
      <c r="O301" s="2">
        <f t="shared" si="68"/>
        <v>68</v>
      </c>
      <c r="P301" s="2">
        <f t="shared" si="69"/>
        <v>0</v>
      </c>
      <c r="Q301" s="10">
        <f>_XLL.RISKOUTPUT(,"Contaminated gloves during a shift",298)+P301/(O301+P301)</f>
        <v>0</v>
      </c>
      <c r="R301" s="2">
        <f>IF(O301&lt;1,0,_XLL.RISKBINOMIAL(ROUND(O301,0),S301))</f>
        <v>0</v>
      </c>
      <c r="S301" s="11">
        <f t="shared" si="61"/>
        <v>0.0002337817386286467</v>
      </c>
      <c r="U301" s="2">
        <f t="shared" si="56"/>
        <v>102</v>
      </c>
      <c r="V301" s="2">
        <f t="shared" si="57"/>
        <v>1224</v>
      </c>
      <c r="W301" s="2">
        <f t="shared" si="58"/>
        <v>68</v>
      </c>
    </row>
    <row r="302" spans="1:23" ht="12.75">
      <c r="A302">
        <v>1</v>
      </c>
      <c r="B302">
        <v>298</v>
      </c>
      <c r="C302" s="2">
        <f t="shared" si="62"/>
        <v>100.61538461538461</v>
      </c>
      <c r="D302" s="2">
        <f t="shared" si="63"/>
        <v>1.3846153846153846</v>
      </c>
      <c r="E302" s="2">
        <f t="shared" si="64"/>
        <v>10.061538461538461</v>
      </c>
      <c r="F302" s="2">
        <f t="shared" si="65"/>
        <v>0.13846153846153847</v>
      </c>
      <c r="G302" s="9">
        <f>_XLL.RISKOUTPUT(,"Contaminated food products during a shift",299)+D302/(C302+D302)</f>
        <v>0.013574660633484163</v>
      </c>
      <c r="H302" s="2">
        <f>IF(C302&lt;1,0,_XLL.RISKBINOMIAL(ROUND(C302,0),I302))</f>
        <v>0</v>
      </c>
      <c r="I302" s="8">
        <f t="shared" si="66"/>
        <v>5.569062148913506E-05</v>
      </c>
      <c r="J302" s="2">
        <f t="shared" si="59"/>
        <v>1220.7418090519864</v>
      </c>
      <c r="K302" s="2">
        <f t="shared" si="60"/>
        <v>3.2581909480136027</v>
      </c>
      <c r="L302" s="10">
        <f>_XLL.RISKOUTPUT(,"Contaminated food contact surfaces during a shift",299)+K302/(J302+K302)</f>
        <v>0.00266192070916144</v>
      </c>
      <c r="M302" s="2">
        <f>IF(J302&lt;1,0,_XLL.RISKBINOMIAL(ROUND(J302,0),N302))</f>
        <v>0</v>
      </c>
      <c r="N302" s="11">
        <f t="shared" si="67"/>
        <v>1.3308466217609727E-05</v>
      </c>
      <c r="O302" s="2">
        <f t="shared" si="68"/>
        <v>68</v>
      </c>
      <c r="P302" s="2">
        <f t="shared" si="69"/>
        <v>0</v>
      </c>
      <c r="Q302" s="10">
        <f>_XLL.RISKOUTPUT(,"Contaminated gloves during a shift",299)+P302/(O302+P302)</f>
        <v>0</v>
      </c>
      <c r="R302" s="2">
        <f>IF(O302&lt;1,0,_XLL.RISKBINOMIAL(ROUND(O302,0),S302))</f>
        <v>0</v>
      </c>
      <c r="S302" s="11">
        <f t="shared" si="61"/>
        <v>0.0002337817386286467</v>
      </c>
      <c r="U302" s="2">
        <f t="shared" si="56"/>
        <v>102</v>
      </c>
      <c r="V302" s="2">
        <f t="shared" si="57"/>
        <v>1224</v>
      </c>
      <c r="W302" s="2">
        <f t="shared" si="58"/>
        <v>68</v>
      </c>
    </row>
    <row r="303" spans="1:23" ht="12.75">
      <c r="A303">
        <v>1</v>
      </c>
      <c r="B303">
        <v>299</v>
      </c>
      <c r="C303" s="2">
        <f t="shared" si="62"/>
        <v>100.61538461538461</v>
      </c>
      <c r="D303" s="2">
        <f t="shared" si="63"/>
        <v>1.3846153846153846</v>
      </c>
      <c r="E303" s="2">
        <f t="shared" si="64"/>
        <v>10.061538461538461</v>
      </c>
      <c r="F303" s="2">
        <f t="shared" si="65"/>
        <v>0.13846153846153847</v>
      </c>
      <c r="G303" s="9">
        <f>_XLL.RISKOUTPUT(,"Contaminated food products during a shift",300)+D303/(C303+D303)</f>
        <v>0.013574660633484163</v>
      </c>
      <c r="H303" s="2">
        <f>IF(C303&lt;1,0,_XLL.RISKBINOMIAL(ROUND(C303,0),I303))</f>
        <v>0</v>
      </c>
      <c r="I303" s="8">
        <f t="shared" si="66"/>
        <v>5.569062148913506E-05</v>
      </c>
      <c r="J303" s="2">
        <f t="shared" si="59"/>
        <v>1220.7418090519864</v>
      </c>
      <c r="K303" s="2">
        <f t="shared" si="60"/>
        <v>3.2581909480136027</v>
      </c>
      <c r="L303" s="10">
        <f>_XLL.RISKOUTPUT(,"Contaminated food contact surfaces during a shift",300)+K303/(J303+K303)</f>
        <v>0.00266192070916144</v>
      </c>
      <c r="M303" s="2">
        <f>IF(J303&lt;1,0,_XLL.RISKBINOMIAL(ROUND(J303,0),N303))</f>
        <v>0</v>
      </c>
      <c r="N303" s="11">
        <f t="shared" si="67"/>
        <v>1.3308466217609727E-05</v>
      </c>
      <c r="O303" s="2">
        <f t="shared" si="68"/>
        <v>68</v>
      </c>
      <c r="P303" s="2">
        <f t="shared" si="69"/>
        <v>0</v>
      </c>
      <c r="Q303" s="10">
        <f>_XLL.RISKOUTPUT(,"Contaminated gloves during a shift",300)+P303/(O303+P303)</f>
        <v>0</v>
      </c>
      <c r="R303" s="2">
        <f>IF(O303&lt;1,0,_XLL.RISKBINOMIAL(ROUND(O303,0),S303))</f>
        <v>0</v>
      </c>
      <c r="S303" s="11">
        <f t="shared" si="61"/>
        <v>0.0002337817386286467</v>
      </c>
      <c r="U303" s="2">
        <f t="shared" si="56"/>
        <v>102</v>
      </c>
      <c r="V303" s="2">
        <f t="shared" si="57"/>
        <v>1224</v>
      </c>
      <c r="W303" s="2">
        <f t="shared" si="58"/>
        <v>68</v>
      </c>
    </row>
    <row r="304" spans="1:23" ht="12.75">
      <c r="A304">
        <v>1</v>
      </c>
      <c r="B304">
        <v>300</v>
      </c>
      <c r="C304" s="2">
        <f t="shared" si="62"/>
        <v>100.61538461538461</v>
      </c>
      <c r="D304" s="2">
        <f t="shared" si="63"/>
        <v>1.3846153846153846</v>
      </c>
      <c r="E304" s="2">
        <f t="shared" si="64"/>
        <v>10.061538461538461</v>
      </c>
      <c r="F304" s="2">
        <f t="shared" si="65"/>
        <v>0.13846153846153847</v>
      </c>
      <c r="G304" s="9">
        <f>_XLL.RISKOUTPUT(,"Contaminated food products during a shift",301)+D304/(C304+D304)</f>
        <v>0.013574660633484163</v>
      </c>
      <c r="H304" s="2">
        <f>IF(C304&lt;1,0,_XLL.RISKBINOMIAL(ROUND(C304,0),I304))</f>
        <v>0</v>
      </c>
      <c r="I304" s="8">
        <f t="shared" si="66"/>
        <v>5.569062148913506E-05</v>
      </c>
      <c r="J304" s="2">
        <f t="shared" si="59"/>
        <v>1220.7418090519864</v>
      </c>
      <c r="K304" s="2">
        <f t="shared" si="60"/>
        <v>3.2581909480136027</v>
      </c>
      <c r="L304" s="10">
        <f>_XLL.RISKOUTPUT(,"Contaminated food contact surfaces during a shift",301)+K304/(J304+K304)</f>
        <v>0.00266192070916144</v>
      </c>
      <c r="M304" s="2">
        <f>IF(J304&lt;1,0,_XLL.RISKBINOMIAL(ROUND(J304,0),N304))</f>
        <v>0</v>
      </c>
      <c r="N304" s="11">
        <f t="shared" si="67"/>
        <v>1.3308466217609727E-05</v>
      </c>
      <c r="O304" s="2">
        <f t="shared" si="68"/>
        <v>68</v>
      </c>
      <c r="P304" s="2">
        <f t="shared" si="69"/>
        <v>0</v>
      </c>
      <c r="Q304" s="10">
        <f>_XLL.RISKOUTPUT(,"Contaminated gloves during a shift",301)+P304/(O304+P304)</f>
        <v>0</v>
      </c>
      <c r="R304" s="2">
        <f>IF(O304&lt;1,0,_XLL.RISKBINOMIAL(ROUND(O304,0),S304))</f>
        <v>0</v>
      </c>
      <c r="S304" s="11">
        <f t="shared" si="61"/>
        <v>0.0002337817386286467</v>
      </c>
      <c r="U304" s="2">
        <f t="shared" si="56"/>
        <v>102</v>
      </c>
      <c r="V304" s="2">
        <f t="shared" si="57"/>
        <v>1224</v>
      </c>
      <c r="W304" s="2">
        <f t="shared" si="58"/>
        <v>68</v>
      </c>
    </row>
    <row r="305" spans="1:23" ht="12.75">
      <c r="A305">
        <v>1</v>
      </c>
      <c r="B305">
        <v>301</v>
      </c>
      <c r="C305" s="2">
        <f t="shared" si="62"/>
        <v>100.61538461538461</v>
      </c>
      <c r="D305" s="2">
        <f t="shared" si="63"/>
        <v>1.3846153846153846</v>
      </c>
      <c r="E305" s="2">
        <f t="shared" si="64"/>
        <v>10.061538461538461</v>
      </c>
      <c r="F305" s="2">
        <f t="shared" si="65"/>
        <v>0.13846153846153847</v>
      </c>
      <c r="G305" s="9">
        <f>_XLL.RISKOUTPUT(,"Contaminated food products during a shift",302)+D305/(C305+D305)</f>
        <v>0.013574660633484163</v>
      </c>
      <c r="H305" s="2">
        <f>IF(C305&lt;1,0,_XLL.RISKBINOMIAL(ROUND(C305,0),I305))</f>
        <v>0</v>
      </c>
      <c r="I305" s="8">
        <f t="shared" si="66"/>
        <v>5.569062148913506E-05</v>
      </c>
      <c r="J305" s="2">
        <f t="shared" si="59"/>
        <v>1220.7418090519864</v>
      </c>
      <c r="K305" s="2">
        <f t="shared" si="60"/>
        <v>3.2581909480136027</v>
      </c>
      <c r="L305" s="10">
        <f>_XLL.RISKOUTPUT(,"Contaminated food contact surfaces during a shift",302)+K305/(J305+K305)</f>
        <v>0.00266192070916144</v>
      </c>
      <c r="M305" s="2">
        <f>IF(J305&lt;1,0,_XLL.RISKBINOMIAL(ROUND(J305,0),N305))</f>
        <v>0</v>
      </c>
      <c r="N305" s="11">
        <f t="shared" si="67"/>
        <v>1.3308466217609727E-05</v>
      </c>
      <c r="O305" s="2">
        <f t="shared" si="68"/>
        <v>68</v>
      </c>
      <c r="P305" s="2">
        <f t="shared" si="69"/>
        <v>0</v>
      </c>
      <c r="Q305" s="10">
        <f>_XLL.RISKOUTPUT(,"Contaminated gloves during a shift",302)+P305/(O305+P305)</f>
        <v>0</v>
      </c>
      <c r="R305" s="2">
        <f>IF(O305&lt;1,0,_XLL.RISKBINOMIAL(ROUND(O305,0),S305))</f>
        <v>0</v>
      </c>
      <c r="S305" s="11">
        <f t="shared" si="61"/>
        <v>0.0002337817386286467</v>
      </c>
      <c r="U305" s="2">
        <f t="shared" si="56"/>
        <v>102</v>
      </c>
      <c r="V305" s="2">
        <f t="shared" si="57"/>
        <v>1224</v>
      </c>
      <c r="W305" s="2">
        <f t="shared" si="58"/>
        <v>68</v>
      </c>
    </row>
    <row r="306" spans="1:23" ht="12.75">
      <c r="A306">
        <v>1</v>
      </c>
      <c r="B306">
        <v>302</v>
      </c>
      <c r="C306" s="2">
        <f t="shared" si="62"/>
        <v>100.61538461538461</v>
      </c>
      <c r="D306" s="2">
        <f t="shared" si="63"/>
        <v>1.3846153846153846</v>
      </c>
      <c r="E306" s="2">
        <f t="shared" si="64"/>
        <v>10.061538461538461</v>
      </c>
      <c r="F306" s="2">
        <f t="shared" si="65"/>
        <v>0.13846153846153847</v>
      </c>
      <c r="G306" s="9">
        <f>_XLL.RISKOUTPUT(,"Contaminated food products during a shift",303)+D306/(C306+D306)</f>
        <v>0.013574660633484163</v>
      </c>
      <c r="H306" s="2">
        <f>IF(C306&lt;1,0,_XLL.RISKBINOMIAL(ROUND(C306,0),I306))</f>
        <v>0</v>
      </c>
      <c r="I306" s="8">
        <f t="shared" si="66"/>
        <v>5.569062148913506E-05</v>
      </c>
      <c r="J306" s="2">
        <f t="shared" si="59"/>
        <v>1220.7418090519864</v>
      </c>
      <c r="K306" s="2">
        <f t="shared" si="60"/>
        <v>3.2581909480136027</v>
      </c>
      <c r="L306" s="10">
        <f>_XLL.RISKOUTPUT(,"Contaminated food contact surfaces during a shift",303)+K306/(J306+K306)</f>
        <v>0.00266192070916144</v>
      </c>
      <c r="M306" s="2">
        <f>IF(J306&lt;1,0,_XLL.RISKBINOMIAL(ROUND(J306,0),N306))</f>
        <v>0</v>
      </c>
      <c r="N306" s="11">
        <f t="shared" si="67"/>
        <v>1.3308466217609727E-05</v>
      </c>
      <c r="O306" s="2">
        <f t="shared" si="68"/>
        <v>68</v>
      </c>
      <c r="P306" s="2">
        <f t="shared" si="69"/>
        <v>0</v>
      </c>
      <c r="Q306" s="10">
        <f>_XLL.RISKOUTPUT(,"Contaminated gloves during a shift",303)+P306/(O306+P306)</f>
        <v>0</v>
      </c>
      <c r="R306" s="2">
        <f>IF(O306&lt;1,0,_XLL.RISKBINOMIAL(ROUND(O306,0),S306))</f>
        <v>0</v>
      </c>
      <c r="S306" s="11">
        <f t="shared" si="61"/>
        <v>0.0002337817386286467</v>
      </c>
      <c r="U306" s="2">
        <f t="shared" si="56"/>
        <v>102</v>
      </c>
      <c r="V306" s="2">
        <f t="shared" si="57"/>
        <v>1224</v>
      </c>
      <c r="W306" s="2">
        <f t="shared" si="58"/>
        <v>68</v>
      </c>
    </row>
    <row r="307" spans="1:23" ht="12.75">
      <c r="A307">
        <v>1</v>
      </c>
      <c r="B307">
        <v>303</v>
      </c>
      <c r="C307" s="2">
        <f t="shared" si="62"/>
        <v>100.61538461538461</v>
      </c>
      <c r="D307" s="2">
        <f t="shared" si="63"/>
        <v>1.3846153846153846</v>
      </c>
      <c r="E307" s="2">
        <f t="shared" si="64"/>
        <v>10.061538461538461</v>
      </c>
      <c r="F307" s="2">
        <f t="shared" si="65"/>
        <v>0.13846153846153847</v>
      </c>
      <c r="G307" s="9">
        <f>_XLL.RISKOUTPUT(,"Contaminated food products during a shift",304)+D307/(C307+D307)</f>
        <v>0.013574660633484163</v>
      </c>
      <c r="H307" s="2">
        <f>IF(C307&lt;1,0,_XLL.RISKBINOMIAL(ROUND(C307,0),I307))</f>
        <v>0</v>
      </c>
      <c r="I307" s="8">
        <f t="shared" si="66"/>
        <v>5.569062148913506E-05</v>
      </c>
      <c r="J307" s="2">
        <f t="shared" si="59"/>
        <v>1220.7418090519864</v>
      </c>
      <c r="K307" s="2">
        <f t="shared" si="60"/>
        <v>3.2581909480136027</v>
      </c>
      <c r="L307" s="10">
        <f>_XLL.RISKOUTPUT(,"Contaminated food contact surfaces during a shift",304)+K307/(J307+K307)</f>
        <v>0.00266192070916144</v>
      </c>
      <c r="M307" s="2">
        <f>IF(J307&lt;1,0,_XLL.RISKBINOMIAL(ROUND(J307,0),N307))</f>
        <v>0</v>
      </c>
      <c r="N307" s="11">
        <f t="shared" si="67"/>
        <v>1.3308466217609727E-05</v>
      </c>
      <c r="O307" s="2">
        <f t="shared" si="68"/>
        <v>68</v>
      </c>
      <c r="P307" s="2">
        <f t="shared" si="69"/>
        <v>0</v>
      </c>
      <c r="Q307" s="10">
        <f>_XLL.RISKOUTPUT(,"Contaminated gloves during a shift",304)+P307/(O307+P307)</f>
        <v>0</v>
      </c>
      <c r="R307" s="2">
        <f>IF(O307&lt;1,0,_XLL.RISKBINOMIAL(ROUND(O307,0),S307))</f>
        <v>0</v>
      </c>
      <c r="S307" s="11">
        <f t="shared" si="61"/>
        <v>0.0002337817386286467</v>
      </c>
      <c r="U307" s="2">
        <f t="shared" si="56"/>
        <v>102</v>
      </c>
      <c r="V307" s="2">
        <f t="shared" si="57"/>
        <v>1224</v>
      </c>
      <c r="W307" s="2">
        <f t="shared" si="58"/>
        <v>68</v>
      </c>
    </row>
    <row r="308" spans="1:23" ht="12.75">
      <c r="A308">
        <v>1</v>
      </c>
      <c r="B308">
        <v>304</v>
      </c>
      <c r="C308" s="2">
        <f t="shared" si="62"/>
        <v>100.61538461538461</v>
      </c>
      <c r="D308" s="2">
        <f t="shared" si="63"/>
        <v>1.3846153846153846</v>
      </c>
      <c r="E308" s="2">
        <f t="shared" si="64"/>
        <v>10.061538461538461</v>
      </c>
      <c r="F308" s="2">
        <f t="shared" si="65"/>
        <v>0.13846153846153847</v>
      </c>
      <c r="G308" s="9">
        <f>_XLL.RISKOUTPUT(,"Contaminated food products during a shift",305)+D308/(C308+D308)</f>
        <v>0.013574660633484163</v>
      </c>
      <c r="H308" s="2">
        <f>IF(C308&lt;1,0,_XLL.RISKBINOMIAL(ROUND(C308,0),I308))</f>
        <v>0</v>
      </c>
      <c r="I308" s="8">
        <f t="shared" si="66"/>
        <v>5.569062148913506E-05</v>
      </c>
      <c r="J308" s="2">
        <f t="shared" si="59"/>
        <v>1220.7418090519864</v>
      </c>
      <c r="K308" s="2">
        <f t="shared" si="60"/>
        <v>3.2581909480136027</v>
      </c>
      <c r="L308" s="10">
        <f>_XLL.RISKOUTPUT(,"Contaminated food contact surfaces during a shift",305)+K308/(J308+K308)</f>
        <v>0.00266192070916144</v>
      </c>
      <c r="M308" s="2">
        <f>IF(J308&lt;1,0,_XLL.RISKBINOMIAL(ROUND(J308,0),N308))</f>
        <v>0</v>
      </c>
      <c r="N308" s="11">
        <f t="shared" si="67"/>
        <v>1.3308466217609727E-05</v>
      </c>
      <c r="O308" s="2">
        <f t="shared" si="68"/>
        <v>68</v>
      </c>
      <c r="P308" s="2">
        <f t="shared" si="69"/>
        <v>0</v>
      </c>
      <c r="Q308" s="10">
        <f>_XLL.RISKOUTPUT(,"Contaminated gloves during a shift",305)+P308/(O308+P308)</f>
        <v>0</v>
      </c>
      <c r="R308" s="2">
        <f>IF(O308&lt;1,0,_XLL.RISKBINOMIAL(ROUND(O308,0),S308))</f>
        <v>0</v>
      </c>
      <c r="S308" s="11">
        <f t="shared" si="61"/>
        <v>0.0002337817386286467</v>
      </c>
      <c r="U308" s="2">
        <f t="shared" si="56"/>
        <v>102</v>
      </c>
      <c r="V308" s="2">
        <f t="shared" si="57"/>
        <v>1224</v>
      </c>
      <c r="W308" s="2">
        <f t="shared" si="58"/>
        <v>68</v>
      </c>
    </row>
    <row r="309" spans="1:23" ht="12.75">
      <c r="A309">
        <v>1</v>
      </c>
      <c r="B309">
        <v>305</v>
      </c>
      <c r="C309" s="2">
        <f t="shared" si="62"/>
        <v>100.61538461538461</v>
      </c>
      <c r="D309" s="2">
        <f t="shared" si="63"/>
        <v>1.3846153846153846</v>
      </c>
      <c r="E309" s="2">
        <f t="shared" si="64"/>
        <v>10.061538461538461</v>
      </c>
      <c r="F309" s="2">
        <f t="shared" si="65"/>
        <v>0.13846153846153847</v>
      </c>
      <c r="G309" s="9">
        <f>_XLL.RISKOUTPUT(,"Contaminated food products during a shift",306)+D309/(C309+D309)</f>
        <v>0.013574660633484163</v>
      </c>
      <c r="H309" s="2">
        <f>IF(C309&lt;1,0,_XLL.RISKBINOMIAL(ROUND(C309,0),I309))</f>
        <v>0</v>
      </c>
      <c r="I309" s="8">
        <f t="shared" si="66"/>
        <v>5.569062148913506E-05</v>
      </c>
      <c r="J309" s="2">
        <f t="shared" si="59"/>
        <v>1220.7418090519864</v>
      </c>
      <c r="K309" s="2">
        <f t="shared" si="60"/>
        <v>3.2581909480136027</v>
      </c>
      <c r="L309" s="10">
        <f>_XLL.RISKOUTPUT(,"Contaminated food contact surfaces during a shift",306)+K309/(J309+K309)</f>
        <v>0.00266192070916144</v>
      </c>
      <c r="M309" s="2">
        <f>IF(J309&lt;1,0,_XLL.RISKBINOMIAL(ROUND(J309,0),N309))</f>
        <v>0</v>
      </c>
      <c r="N309" s="11">
        <f t="shared" si="67"/>
        <v>1.3308466217609727E-05</v>
      </c>
      <c r="O309" s="2">
        <f t="shared" si="68"/>
        <v>68</v>
      </c>
      <c r="P309" s="2">
        <f t="shared" si="69"/>
        <v>0</v>
      </c>
      <c r="Q309" s="10">
        <f>_XLL.RISKOUTPUT(,"Contaminated gloves during a shift",306)+P309/(O309+P309)</f>
        <v>0</v>
      </c>
      <c r="R309" s="2">
        <f>IF(O309&lt;1,0,_XLL.RISKBINOMIAL(ROUND(O309,0),S309))</f>
        <v>0</v>
      </c>
      <c r="S309" s="11">
        <f t="shared" si="61"/>
        <v>0.0002337817386286467</v>
      </c>
      <c r="U309" s="2">
        <f t="shared" si="56"/>
        <v>102</v>
      </c>
      <c r="V309" s="2">
        <f t="shared" si="57"/>
        <v>1224</v>
      </c>
      <c r="W309" s="2">
        <f t="shared" si="58"/>
        <v>68</v>
      </c>
    </row>
    <row r="310" spans="1:23" ht="12.75">
      <c r="A310">
        <v>1</v>
      </c>
      <c r="B310">
        <v>306</v>
      </c>
      <c r="C310" s="2">
        <f t="shared" si="62"/>
        <v>100.61538461538461</v>
      </c>
      <c r="D310" s="2">
        <f t="shared" si="63"/>
        <v>1.3846153846153846</v>
      </c>
      <c r="E310" s="2">
        <f t="shared" si="64"/>
        <v>10.061538461538461</v>
      </c>
      <c r="F310" s="2">
        <f t="shared" si="65"/>
        <v>0.13846153846153847</v>
      </c>
      <c r="G310" s="9">
        <f>_XLL.RISKOUTPUT(,"Contaminated food products during a shift",307)+D310/(C310+D310)</f>
        <v>0.013574660633484163</v>
      </c>
      <c r="H310" s="2">
        <f>IF(C310&lt;1,0,_XLL.RISKBINOMIAL(ROUND(C310,0),I310))</f>
        <v>0</v>
      </c>
      <c r="I310" s="8">
        <f t="shared" si="66"/>
        <v>5.569062148913506E-05</v>
      </c>
      <c r="J310" s="2">
        <f t="shared" si="59"/>
        <v>1220.7418090519864</v>
      </c>
      <c r="K310" s="2">
        <f t="shared" si="60"/>
        <v>3.2581909480136027</v>
      </c>
      <c r="L310" s="10">
        <f>_XLL.RISKOUTPUT(,"Contaminated food contact surfaces during a shift",307)+K310/(J310+K310)</f>
        <v>0.00266192070916144</v>
      </c>
      <c r="M310" s="2">
        <f>IF(J310&lt;1,0,_XLL.RISKBINOMIAL(ROUND(J310,0),N310))</f>
        <v>0</v>
      </c>
      <c r="N310" s="11">
        <f t="shared" si="67"/>
        <v>1.3308466217609727E-05</v>
      </c>
      <c r="O310" s="2">
        <f t="shared" si="68"/>
        <v>68</v>
      </c>
      <c r="P310" s="2">
        <f t="shared" si="69"/>
        <v>0</v>
      </c>
      <c r="Q310" s="10">
        <f>_XLL.RISKOUTPUT(,"Contaminated gloves during a shift",307)+P310/(O310+P310)</f>
        <v>0</v>
      </c>
      <c r="R310" s="2">
        <f>IF(O310&lt;1,0,_XLL.RISKBINOMIAL(ROUND(O310,0),S310))</f>
        <v>0</v>
      </c>
      <c r="S310" s="11">
        <f t="shared" si="61"/>
        <v>0.0002337817386286467</v>
      </c>
      <c r="U310" s="2">
        <f t="shared" si="56"/>
        <v>102</v>
      </c>
      <c r="V310" s="2">
        <f t="shared" si="57"/>
        <v>1224</v>
      </c>
      <c r="W310" s="2">
        <f t="shared" si="58"/>
        <v>68</v>
      </c>
    </row>
    <row r="311" spans="1:23" ht="12.75">
      <c r="A311">
        <v>1</v>
      </c>
      <c r="B311">
        <v>307</v>
      </c>
      <c r="C311" s="2">
        <f t="shared" si="62"/>
        <v>100.61538461538461</v>
      </c>
      <c r="D311" s="2">
        <f t="shared" si="63"/>
        <v>1.3846153846153846</v>
      </c>
      <c r="E311" s="2">
        <f t="shared" si="64"/>
        <v>10.061538461538461</v>
      </c>
      <c r="F311" s="2">
        <f t="shared" si="65"/>
        <v>0.13846153846153847</v>
      </c>
      <c r="G311" s="9">
        <f>_XLL.RISKOUTPUT(,"Contaminated food products during a shift",308)+D311/(C311+D311)</f>
        <v>0.013574660633484163</v>
      </c>
      <c r="H311" s="2">
        <f>IF(C311&lt;1,0,_XLL.RISKBINOMIAL(ROUND(C311,0),I311))</f>
        <v>0</v>
      </c>
      <c r="I311" s="8">
        <f t="shared" si="66"/>
        <v>5.569062148913506E-05</v>
      </c>
      <c r="J311" s="2">
        <f t="shared" si="59"/>
        <v>1220.7418090519864</v>
      </c>
      <c r="K311" s="2">
        <f t="shared" si="60"/>
        <v>3.2581909480136027</v>
      </c>
      <c r="L311" s="10">
        <f>_XLL.RISKOUTPUT(,"Contaminated food contact surfaces during a shift",308)+K311/(J311+K311)</f>
        <v>0.00266192070916144</v>
      </c>
      <c r="M311" s="2">
        <f>IF(J311&lt;1,0,_XLL.RISKBINOMIAL(ROUND(J311,0),N311))</f>
        <v>0</v>
      </c>
      <c r="N311" s="11">
        <f t="shared" si="67"/>
        <v>1.3308466217609727E-05</v>
      </c>
      <c r="O311" s="2">
        <f t="shared" si="68"/>
        <v>68</v>
      </c>
      <c r="P311" s="2">
        <f t="shared" si="69"/>
        <v>0</v>
      </c>
      <c r="Q311" s="10">
        <f>_XLL.RISKOUTPUT(,"Contaminated gloves during a shift",308)+P311/(O311+P311)</f>
        <v>0</v>
      </c>
      <c r="R311" s="2">
        <f>IF(O311&lt;1,0,_XLL.RISKBINOMIAL(ROUND(O311,0),S311))</f>
        <v>0</v>
      </c>
      <c r="S311" s="11">
        <f t="shared" si="61"/>
        <v>0.0002337817386286467</v>
      </c>
      <c r="U311" s="2">
        <f t="shared" si="56"/>
        <v>102</v>
      </c>
      <c r="V311" s="2">
        <f t="shared" si="57"/>
        <v>1224</v>
      </c>
      <c r="W311" s="2">
        <f t="shared" si="58"/>
        <v>68</v>
      </c>
    </row>
    <row r="312" spans="1:23" ht="12.75">
      <c r="A312">
        <v>1</v>
      </c>
      <c r="B312">
        <v>308</v>
      </c>
      <c r="C312" s="2">
        <f t="shared" si="62"/>
        <v>100.61538461538461</v>
      </c>
      <c r="D312" s="2">
        <f t="shared" si="63"/>
        <v>1.3846153846153846</v>
      </c>
      <c r="E312" s="2">
        <f t="shared" si="64"/>
        <v>10.061538461538461</v>
      </c>
      <c r="F312" s="2">
        <f t="shared" si="65"/>
        <v>0.13846153846153847</v>
      </c>
      <c r="G312" s="9">
        <f>_XLL.RISKOUTPUT(,"Contaminated food products during a shift",309)+D312/(C312+D312)</f>
        <v>0.013574660633484163</v>
      </c>
      <c r="H312" s="2">
        <f>IF(C312&lt;1,0,_XLL.RISKBINOMIAL(ROUND(C312,0),I312))</f>
        <v>0</v>
      </c>
      <c r="I312" s="8">
        <f t="shared" si="66"/>
        <v>5.569062148913506E-05</v>
      </c>
      <c r="J312" s="2">
        <f t="shared" si="59"/>
        <v>1220.7418090519864</v>
      </c>
      <c r="K312" s="2">
        <f t="shared" si="60"/>
        <v>3.2581909480136027</v>
      </c>
      <c r="L312" s="10">
        <f>_XLL.RISKOUTPUT(,"Contaminated food contact surfaces during a shift",309)+K312/(J312+K312)</f>
        <v>0.00266192070916144</v>
      </c>
      <c r="M312" s="2">
        <f>IF(J312&lt;1,0,_XLL.RISKBINOMIAL(ROUND(J312,0),N312))</f>
        <v>0</v>
      </c>
      <c r="N312" s="11">
        <f t="shared" si="67"/>
        <v>1.3308466217609727E-05</v>
      </c>
      <c r="O312" s="2">
        <f t="shared" si="68"/>
        <v>68</v>
      </c>
      <c r="P312" s="2">
        <f t="shared" si="69"/>
        <v>0</v>
      </c>
      <c r="Q312" s="10">
        <f>_XLL.RISKOUTPUT(,"Contaminated gloves during a shift",309)+P312/(O312+P312)</f>
        <v>0</v>
      </c>
      <c r="R312" s="2">
        <f>IF(O312&lt;1,0,_XLL.RISKBINOMIAL(ROUND(O312,0),S312))</f>
        <v>0</v>
      </c>
      <c r="S312" s="11">
        <f t="shared" si="61"/>
        <v>0.0002337817386286467</v>
      </c>
      <c r="U312" s="2">
        <f t="shared" si="56"/>
        <v>102</v>
      </c>
      <c r="V312" s="2">
        <f t="shared" si="57"/>
        <v>1224</v>
      </c>
      <c r="W312" s="2">
        <f t="shared" si="58"/>
        <v>68</v>
      </c>
    </row>
    <row r="313" spans="1:23" ht="12.75">
      <c r="A313">
        <v>1</v>
      </c>
      <c r="B313">
        <v>309</v>
      </c>
      <c r="C313" s="2">
        <f t="shared" si="62"/>
        <v>100.61538461538461</v>
      </c>
      <c r="D313" s="2">
        <f t="shared" si="63"/>
        <v>1.3846153846153846</v>
      </c>
      <c r="E313" s="2">
        <f t="shared" si="64"/>
        <v>10.061538461538461</v>
      </c>
      <c r="F313" s="2">
        <f t="shared" si="65"/>
        <v>0.13846153846153847</v>
      </c>
      <c r="G313" s="9">
        <f>_XLL.RISKOUTPUT(,"Contaminated food products during a shift",310)+D313/(C313+D313)</f>
        <v>0.013574660633484163</v>
      </c>
      <c r="H313" s="2">
        <f>IF(C313&lt;1,0,_XLL.RISKBINOMIAL(ROUND(C313,0),I313))</f>
        <v>0</v>
      </c>
      <c r="I313" s="8">
        <f t="shared" si="66"/>
        <v>5.569062148913506E-05</v>
      </c>
      <c r="J313" s="2">
        <f t="shared" si="59"/>
        <v>1220.7418090519864</v>
      </c>
      <c r="K313" s="2">
        <f t="shared" si="60"/>
        <v>3.2581909480136027</v>
      </c>
      <c r="L313" s="10">
        <f>_XLL.RISKOUTPUT(,"Contaminated food contact surfaces during a shift",310)+K313/(J313+K313)</f>
        <v>0.00266192070916144</v>
      </c>
      <c r="M313" s="2">
        <f>IF(J313&lt;1,0,_XLL.RISKBINOMIAL(ROUND(J313,0),N313))</f>
        <v>0</v>
      </c>
      <c r="N313" s="11">
        <f t="shared" si="67"/>
        <v>1.3308466217609727E-05</v>
      </c>
      <c r="O313" s="2">
        <f t="shared" si="68"/>
        <v>68</v>
      </c>
      <c r="P313" s="2">
        <f t="shared" si="69"/>
        <v>0</v>
      </c>
      <c r="Q313" s="10">
        <f>_XLL.RISKOUTPUT(,"Contaminated gloves during a shift",310)+P313/(O313+P313)</f>
        <v>0</v>
      </c>
      <c r="R313" s="2">
        <f>IF(O313&lt;1,0,_XLL.RISKBINOMIAL(ROUND(O313,0),S313))</f>
        <v>0</v>
      </c>
      <c r="S313" s="11">
        <f t="shared" si="61"/>
        <v>0.0002337817386286467</v>
      </c>
      <c r="U313" s="2">
        <f t="shared" si="56"/>
        <v>102</v>
      </c>
      <c r="V313" s="2">
        <f t="shared" si="57"/>
        <v>1224</v>
      </c>
      <c r="W313" s="2">
        <f t="shared" si="58"/>
        <v>68</v>
      </c>
    </row>
    <row r="314" spans="1:23" ht="12.75">
      <c r="A314">
        <v>1</v>
      </c>
      <c r="B314">
        <v>310</v>
      </c>
      <c r="C314" s="2">
        <f t="shared" si="62"/>
        <v>100.61538461538461</v>
      </c>
      <c r="D314" s="2">
        <f t="shared" si="63"/>
        <v>1.3846153846153846</v>
      </c>
      <c r="E314" s="2">
        <f t="shared" si="64"/>
        <v>10.061538461538461</v>
      </c>
      <c r="F314" s="2">
        <f t="shared" si="65"/>
        <v>0.13846153846153847</v>
      </c>
      <c r="G314" s="9">
        <f>_XLL.RISKOUTPUT(,"Contaminated food products during a shift",311)+D314/(C314+D314)</f>
        <v>0.013574660633484163</v>
      </c>
      <c r="H314" s="2">
        <f>IF(C314&lt;1,0,_XLL.RISKBINOMIAL(ROUND(C314,0),I314))</f>
        <v>0</v>
      </c>
      <c r="I314" s="8">
        <f t="shared" si="66"/>
        <v>5.569062148913506E-05</v>
      </c>
      <c r="J314" s="2">
        <f t="shared" si="59"/>
        <v>1220.7418090519864</v>
      </c>
      <c r="K314" s="2">
        <f t="shared" si="60"/>
        <v>3.2581909480136027</v>
      </c>
      <c r="L314" s="10">
        <f>_XLL.RISKOUTPUT(,"Contaminated food contact surfaces during a shift",311)+K314/(J314+K314)</f>
        <v>0.00266192070916144</v>
      </c>
      <c r="M314" s="2">
        <f>IF(J314&lt;1,0,_XLL.RISKBINOMIAL(ROUND(J314,0),N314))</f>
        <v>0</v>
      </c>
      <c r="N314" s="11">
        <f t="shared" si="67"/>
        <v>1.3308466217609727E-05</v>
      </c>
      <c r="O314" s="2">
        <f t="shared" si="68"/>
        <v>68</v>
      </c>
      <c r="P314" s="2">
        <f t="shared" si="69"/>
        <v>0</v>
      </c>
      <c r="Q314" s="10">
        <f>_XLL.RISKOUTPUT(,"Contaminated gloves during a shift",311)+P314/(O314+P314)</f>
        <v>0</v>
      </c>
      <c r="R314" s="2">
        <f>IF(O314&lt;1,0,_XLL.RISKBINOMIAL(ROUND(O314,0),S314))</f>
        <v>0</v>
      </c>
      <c r="S314" s="11">
        <f t="shared" si="61"/>
        <v>0.0002337817386286467</v>
      </c>
      <c r="U314" s="2">
        <f t="shared" si="56"/>
        <v>102</v>
      </c>
      <c r="V314" s="2">
        <f t="shared" si="57"/>
        <v>1224</v>
      </c>
      <c r="W314" s="2">
        <f t="shared" si="58"/>
        <v>68</v>
      </c>
    </row>
    <row r="315" spans="1:23" ht="12.75">
      <c r="A315">
        <v>1</v>
      </c>
      <c r="B315">
        <v>311</v>
      </c>
      <c r="C315" s="2">
        <f t="shared" si="62"/>
        <v>100.61538461538461</v>
      </c>
      <c r="D315" s="2">
        <f t="shared" si="63"/>
        <v>1.3846153846153846</v>
      </c>
      <c r="E315" s="2">
        <f t="shared" si="64"/>
        <v>10.061538461538461</v>
      </c>
      <c r="F315" s="2">
        <f t="shared" si="65"/>
        <v>0.13846153846153847</v>
      </c>
      <c r="G315" s="9">
        <f>_XLL.RISKOUTPUT(,"Contaminated food products during a shift",312)+D315/(C315+D315)</f>
        <v>0.013574660633484163</v>
      </c>
      <c r="H315" s="2">
        <f>IF(C315&lt;1,0,_XLL.RISKBINOMIAL(ROUND(C315,0),I315))</f>
        <v>0</v>
      </c>
      <c r="I315" s="8">
        <f t="shared" si="66"/>
        <v>5.569062148913506E-05</v>
      </c>
      <c r="J315" s="2">
        <f t="shared" si="59"/>
        <v>1220.7418090519864</v>
      </c>
      <c r="K315" s="2">
        <f t="shared" si="60"/>
        <v>3.2581909480136027</v>
      </c>
      <c r="L315" s="10">
        <f>_XLL.RISKOUTPUT(,"Contaminated food contact surfaces during a shift",312)+K315/(J315+K315)</f>
        <v>0.00266192070916144</v>
      </c>
      <c r="M315" s="2">
        <f>IF(J315&lt;1,0,_XLL.RISKBINOMIAL(ROUND(J315,0),N315))</f>
        <v>0</v>
      </c>
      <c r="N315" s="11">
        <f t="shared" si="67"/>
        <v>1.3308466217609727E-05</v>
      </c>
      <c r="O315" s="2">
        <f t="shared" si="68"/>
        <v>68</v>
      </c>
      <c r="P315" s="2">
        <f t="shared" si="69"/>
        <v>0</v>
      </c>
      <c r="Q315" s="10">
        <f>_XLL.RISKOUTPUT(,"Contaminated gloves during a shift",312)+P315/(O315+P315)</f>
        <v>0</v>
      </c>
      <c r="R315" s="2">
        <f>IF(O315&lt;1,0,_XLL.RISKBINOMIAL(ROUND(O315,0),S315))</f>
        <v>0</v>
      </c>
      <c r="S315" s="11">
        <f t="shared" si="61"/>
        <v>0.0002337817386286467</v>
      </c>
      <c r="U315" s="2">
        <f t="shared" si="56"/>
        <v>102</v>
      </c>
      <c r="V315" s="2">
        <f t="shared" si="57"/>
        <v>1224</v>
      </c>
      <c r="W315" s="2">
        <f t="shared" si="58"/>
        <v>68</v>
      </c>
    </row>
    <row r="316" spans="1:23" ht="12.75">
      <c r="A316">
        <v>1</v>
      </c>
      <c r="B316">
        <v>312</v>
      </c>
      <c r="C316" s="2">
        <f t="shared" si="62"/>
        <v>100.61538461538461</v>
      </c>
      <c r="D316" s="2">
        <f t="shared" si="63"/>
        <v>1.3846153846153846</v>
      </c>
      <c r="E316" s="2">
        <f t="shared" si="64"/>
        <v>10.061538461538461</v>
      </c>
      <c r="F316" s="2">
        <f t="shared" si="65"/>
        <v>0.13846153846153847</v>
      </c>
      <c r="G316" s="9">
        <f>_XLL.RISKOUTPUT(,"Contaminated food products during a shift",313)+D316/(C316+D316)</f>
        <v>0.013574660633484163</v>
      </c>
      <c r="H316" s="2">
        <f>IF(C316&lt;1,0,_XLL.RISKBINOMIAL(ROUND(C316,0),I316))</f>
        <v>0</v>
      </c>
      <c r="I316" s="8">
        <f t="shared" si="66"/>
        <v>5.569062148913506E-05</v>
      </c>
      <c r="J316" s="2">
        <f t="shared" si="59"/>
        <v>1220.7418090519864</v>
      </c>
      <c r="K316" s="2">
        <f t="shared" si="60"/>
        <v>3.2581909480136027</v>
      </c>
      <c r="L316" s="10">
        <f>_XLL.RISKOUTPUT(,"Contaminated food contact surfaces during a shift",313)+K316/(J316+K316)</f>
        <v>0.00266192070916144</v>
      </c>
      <c r="M316" s="2">
        <f>IF(J316&lt;1,0,_XLL.RISKBINOMIAL(ROUND(J316,0),N316))</f>
        <v>0</v>
      </c>
      <c r="N316" s="11">
        <f t="shared" si="67"/>
        <v>1.3308466217609727E-05</v>
      </c>
      <c r="O316" s="2">
        <f t="shared" si="68"/>
        <v>68</v>
      </c>
      <c r="P316" s="2">
        <f t="shared" si="69"/>
        <v>0</v>
      </c>
      <c r="Q316" s="10">
        <f>_XLL.RISKOUTPUT(,"Contaminated gloves during a shift",313)+P316/(O316+P316)</f>
        <v>0</v>
      </c>
      <c r="R316" s="2">
        <f>IF(O316&lt;1,0,_XLL.RISKBINOMIAL(ROUND(O316,0),S316))</f>
        <v>0</v>
      </c>
      <c r="S316" s="11">
        <f t="shared" si="61"/>
        <v>0.0002337817386286467</v>
      </c>
      <c r="U316" s="2">
        <f t="shared" si="56"/>
        <v>102</v>
      </c>
      <c r="V316" s="2">
        <f t="shared" si="57"/>
        <v>1224</v>
      </c>
      <c r="W316" s="2">
        <f t="shared" si="58"/>
        <v>68</v>
      </c>
    </row>
    <row r="317" spans="1:23" ht="12.75">
      <c r="A317">
        <v>1</v>
      </c>
      <c r="B317">
        <v>313</v>
      </c>
      <c r="C317" s="2">
        <f t="shared" si="62"/>
        <v>100.61538461538461</v>
      </c>
      <c r="D317" s="2">
        <f t="shared" si="63"/>
        <v>1.3846153846153846</v>
      </c>
      <c r="E317" s="2">
        <f t="shared" si="64"/>
        <v>10.061538461538461</v>
      </c>
      <c r="F317" s="2">
        <f t="shared" si="65"/>
        <v>0.13846153846153847</v>
      </c>
      <c r="G317" s="9">
        <f>_XLL.RISKOUTPUT(,"Contaminated food products during a shift",314)+D317/(C317+D317)</f>
        <v>0.013574660633484163</v>
      </c>
      <c r="H317" s="2">
        <f>IF(C317&lt;1,0,_XLL.RISKBINOMIAL(ROUND(C317,0),I317))</f>
        <v>0</v>
      </c>
      <c r="I317" s="8">
        <f t="shared" si="66"/>
        <v>5.569062148913506E-05</v>
      </c>
      <c r="J317" s="2">
        <f t="shared" si="59"/>
        <v>1220.7418090519864</v>
      </c>
      <c r="K317" s="2">
        <f t="shared" si="60"/>
        <v>3.2581909480136027</v>
      </c>
      <c r="L317" s="10">
        <f>_XLL.RISKOUTPUT(,"Contaminated food contact surfaces during a shift",314)+K317/(J317+K317)</f>
        <v>0.00266192070916144</v>
      </c>
      <c r="M317" s="2">
        <f>IF(J317&lt;1,0,_XLL.RISKBINOMIAL(ROUND(J317,0),N317))</f>
        <v>0</v>
      </c>
      <c r="N317" s="11">
        <f t="shared" si="67"/>
        <v>1.3308466217609727E-05</v>
      </c>
      <c r="O317" s="2">
        <f t="shared" si="68"/>
        <v>68</v>
      </c>
      <c r="P317" s="2">
        <f t="shared" si="69"/>
        <v>0</v>
      </c>
      <c r="Q317" s="10">
        <f>_XLL.RISKOUTPUT(,"Contaminated gloves during a shift",314)+P317/(O317+P317)</f>
        <v>0</v>
      </c>
      <c r="R317" s="2">
        <f>IF(O317&lt;1,0,_XLL.RISKBINOMIAL(ROUND(O317,0),S317))</f>
        <v>0</v>
      </c>
      <c r="S317" s="11">
        <f t="shared" si="61"/>
        <v>0.0002337817386286467</v>
      </c>
      <c r="U317" s="2">
        <f t="shared" si="56"/>
        <v>102</v>
      </c>
      <c r="V317" s="2">
        <f t="shared" si="57"/>
        <v>1224</v>
      </c>
      <c r="W317" s="2">
        <f t="shared" si="58"/>
        <v>68</v>
      </c>
    </row>
    <row r="318" spans="1:23" ht="12.75">
      <c r="A318">
        <v>1</v>
      </c>
      <c r="B318">
        <v>314</v>
      </c>
      <c r="C318" s="2">
        <f t="shared" si="62"/>
        <v>100.61538461538461</v>
      </c>
      <c r="D318" s="2">
        <f t="shared" si="63"/>
        <v>1.3846153846153846</v>
      </c>
      <c r="E318" s="2">
        <f t="shared" si="64"/>
        <v>10.061538461538461</v>
      </c>
      <c r="F318" s="2">
        <f t="shared" si="65"/>
        <v>0.13846153846153847</v>
      </c>
      <c r="G318" s="9">
        <f>_XLL.RISKOUTPUT(,"Contaminated food products during a shift",315)+D318/(C318+D318)</f>
        <v>0.013574660633484163</v>
      </c>
      <c r="H318" s="2">
        <f>IF(C318&lt;1,0,_XLL.RISKBINOMIAL(ROUND(C318,0),I318))</f>
        <v>0</v>
      </c>
      <c r="I318" s="8">
        <f t="shared" si="66"/>
        <v>5.569062148913506E-05</v>
      </c>
      <c r="J318" s="2">
        <f t="shared" si="59"/>
        <v>1220.7418090519864</v>
      </c>
      <c r="K318" s="2">
        <f t="shared" si="60"/>
        <v>3.2581909480136027</v>
      </c>
      <c r="L318" s="10">
        <f>_XLL.RISKOUTPUT(,"Contaminated food contact surfaces during a shift",315)+K318/(J318+K318)</f>
        <v>0.00266192070916144</v>
      </c>
      <c r="M318" s="2">
        <f>IF(J318&lt;1,0,_XLL.RISKBINOMIAL(ROUND(J318,0),N318))</f>
        <v>0</v>
      </c>
      <c r="N318" s="11">
        <f t="shared" si="67"/>
        <v>1.3308466217609727E-05</v>
      </c>
      <c r="O318" s="2">
        <f t="shared" si="68"/>
        <v>68</v>
      </c>
      <c r="P318" s="2">
        <f t="shared" si="69"/>
        <v>0</v>
      </c>
      <c r="Q318" s="10">
        <f>_XLL.RISKOUTPUT(,"Contaminated gloves during a shift",315)+P318/(O318+P318)</f>
        <v>0</v>
      </c>
      <c r="R318" s="2">
        <f>IF(O318&lt;1,0,_XLL.RISKBINOMIAL(ROUND(O318,0),S318))</f>
        <v>0</v>
      </c>
      <c r="S318" s="11">
        <f t="shared" si="61"/>
        <v>0.0002337817386286467</v>
      </c>
      <c r="U318" s="2">
        <f t="shared" si="56"/>
        <v>102</v>
      </c>
      <c r="V318" s="2">
        <f t="shared" si="57"/>
        <v>1224</v>
      </c>
      <c r="W318" s="2">
        <f t="shared" si="58"/>
        <v>68</v>
      </c>
    </row>
    <row r="319" spans="1:23" ht="12.75">
      <c r="A319">
        <v>1</v>
      </c>
      <c r="B319">
        <v>315</v>
      </c>
      <c r="C319" s="2">
        <f t="shared" si="62"/>
        <v>100.61538461538461</v>
      </c>
      <c r="D319" s="2">
        <f t="shared" si="63"/>
        <v>1.3846153846153846</v>
      </c>
      <c r="E319" s="2">
        <f t="shared" si="64"/>
        <v>10.061538461538461</v>
      </c>
      <c r="F319" s="2">
        <f t="shared" si="65"/>
        <v>0.13846153846153847</v>
      </c>
      <c r="G319" s="9">
        <f>_XLL.RISKOUTPUT(,"Contaminated food products during a shift",316)+D319/(C319+D319)</f>
        <v>0.013574660633484163</v>
      </c>
      <c r="H319" s="2">
        <f>IF(C319&lt;1,0,_XLL.RISKBINOMIAL(ROUND(C319,0),I319))</f>
        <v>0</v>
      </c>
      <c r="I319" s="8">
        <f t="shared" si="66"/>
        <v>5.569062148913506E-05</v>
      </c>
      <c r="J319" s="2">
        <f t="shared" si="59"/>
        <v>1220.7418090519864</v>
      </c>
      <c r="K319" s="2">
        <f t="shared" si="60"/>
        <v>3.2581909480136027</v>
      </c>
      <c r="L319" s="10">
        <f>_XLL.RISKOUTPUT(,"Contaminated food contact surfaces during a shift",316)+K319/(J319+K319)</f>
        <v>0.00266192070916144</v>
      </c>
      <c r="M319" s="2">
        <f>IF(J319&lt;1,0,_XLL.RISKBINOMIAL(ROUND(J319,0),N319))</f>
        <v>0</v>
      </c>
      <c r="N319" s="11">
        <f t="shared" si="67"/>
        <v>1.3308466217609727E-05</v>
      </c>
      <c r="O319" s="2">
        <f t="shared" si="68"/>
        <v>68</v>
      </c>
      <c r="P319" s="2">
        <f t="shared" si="69"/>
        <v>0</v>
      </c>
      <c r="Q319" s="10">
        <f>_XLL.RISKOUTPUT(,"Contaminated gloves during a shift",316)+P319/(O319+P319)</f>
        <v>0</v>
      </c>
      <c r="R319" s="2">
        <f>IF(O319&lt;1,0,_XLL.RISKBINOMIAL(ROUND(O319,0),S319))</f>
        <v>0</v>
      </c>
      <c r="S319" s="11">
        <f t="shared" si="61"/>
        <v>0.0002337817386286467</v>
      </c>
      <c r="U319" s="2">
        <f t="shared" si="56"/>
        <v>102</v>
      </c>
      <c r="V319" s="2">
        <f t="shared" si="57"/>
        <v>1224</v>
      </c>
      <c r="W319" s="2">
        <f t="shared" si="58"/>
        <v>68</v>
      </c>
    </row>
    <row r="320" spans="1:23" ht="12.75">
      <c r="A320">
        <v>1</v>
      </c>
      <c r="B320">
        <v>316</v>
      </c>
      <c r="C320" s="2">
        <f t="shared" si="62"/>
        <v>100.61538461538461</v>
      </c>
      <c r="D320" s="2">
        <f t="shared" si="63"/>
        <v>1.3846153846153846</v>
      </c>
      <c r="E320" s="2">
        <f t="shared" si="64"/>
        <v>10.061538461538461</v>
      </c>
      <c r="F320" s="2">
        <f t="shared" si="65"/>
        <v>0.13846153846153847</v>
      </c>
      <c r="G320" s="9">
        <f>_XLL.RISKOUTPUT(,"Contaminated food products during a shift",317)+D320/(C320+D320)</f>
        <v>0.013574660633484163</v>
      </c>
      <c r="H320" s="2">
        <f>IF(C320&lt;1,0,_XLL.RISKBINOMIAL(ROUND(C320,0),I320))</f>
        <v>0</v>
      </c>
      <c r="I320" s="8">
        <f t="shared" si="66"/>
        <v>5.569062148913506E-05</v>
      </c>
      <c r="J320" s="2">
        <f t="shared" si="59"/>
        <v>1220.7418090519864</v>
      </c>
      <c r="K320" s="2">
        <f t="shared" si="60"/>
        <v>3.2581909480136027</v>
      </c>
      <c r="L320" s="10">
        <f>_XLL.RISKOUTPUT(,"Contaminated food contact surfaces during a shift",317)+K320/(J320+K320)</f>
        <v>0.00266192070916144</v>
      </c>
      <c r="M320" s="2">
        <f>IF(J320&lt;1,0,_XLL.RISKBINOMIAL(ROUND(J320,0),N320))</f>
        <v>0</v>
      </c>
      <c r="N320" s="11">
        <f t="shared" si="67"/>
        <v>1.3308466217609727E-05</v>
      </c>
      <c r="O320" s="2">
        <f t="shared" si="68"/>
        <v>68</v>
      </c>
      <c r="P320" s="2">
        <f t="shared" si="69"/>
        <v>0</v>
      </c>
      <c r="Q320" s="10">
        <f>_XLL.RISKOUTPUT(,"Contaminated gloves during a shift",317)+P320/(O320+P320)</f>
        <v>0</v>
      </c>
      <c r="R320" s="2">
        <f>IF(O320&lt;1,0,_XLL.RISKBINOMIAL(ROUND(O320,0),S320))</f>
        <v>0</v>
      </c>
      <c r="S320" s="11">
        <f t="shared" si="61"/>
        <v>0.0002337817386286467</v>
      </c>
      <c r="U320" s="2">
        <f t="shared" si="56"/>
        <v>102</v>
      </c>
      <c r="V320" s="2">
        <f t="shared" si="57"/>
        <v>1224</v>
      </c>
      <c r="W320" s="2">
        <f t="shared" si="58"/>
        <v>68</v>
      </c>
    </row>
    <row r="321" spans="1:23" ht="12.75">
      <c r="A321">
        <v>1</v>
      </c>
      <c r="B321">
        <v>317</v>
      </c>
      <c r="C321" s="2">
        <f t="shared" si="62"/>
        <v>100.61538461538461</v>
      </c>
      <c r="D321" s="2">
        <f t="shared" si="63"/>
        <v>1.3846153846153846</v>
      </c>
      <c r="E321" s="2">
        <f t="shared" si="64"/>
        <v>10.061538461538461</v>
      </c>
      <c r="F321" s="2">
        <f t="shared" si="65"/>
        <v>0.13846153846153847</v>
      </c>
      <c r="G321" s="9">
        <f>_XLL.RISKOUTPUT(,"Contaminated food products during a shift",318)+D321/(C321+D321)</f>
        <v>0.013574660633484163</v>
      </c>
      <c r="H321" s="2">
        <f>IF(C321&lt;1,0,_XLL.RISKBINOMIAL(ROUND(C321,0),I321))</f>
        <v>0</v>
      </c>
      <c r="I321" s="8">
        <f t="shared" si="66"/>
        <v>5.569062148913506E-05</v>
      </c>
      <c r="J321" s="2">
        <f t="shared" si="59"/>
        <v>1220.7418090519864</v>
      </c>
      <c r="K321" s="2">
        <f t="shared" si="60"/>
        <v>3.2581909480136027</v>
      </c>
      <c r="L321" s="10">
        <f>_XLL.RISKOUTPUT(,"Contaminated food contact surfaces during a shift",318)+K321/(J321+K321)</f>
        <v>0.00266192070916144</v>
      </c>
      <c r="M321" s="2">
        <f>IF(J321&lt;1,0,_XLL.RISKBINOMIAL(ROUND(J321,0),N321))</f>
        <v>0</v>
      </c>
      <c r="N321" s="11">
        <f t="shared" si="67"/>
        <v>1.3308466217609727E-05</v>
      </c>
      <c r="O321" s="2">
        <f t="shared" si="68"/>
        <v>68</v>
      </c>
      <c r="P321" s="2">
        <f t="shared" si="69"/>
        <v>0</v>
      </c>
      <c r="Q321" s="10">
        <f>_XLL.RISKOUTPUT(,"Contaminated gloves during a shift",318)+P321/(O321+P321)</f>
        <v>0</v>
      </c>
      <c r="R321" s="2">
        <f>IF(O321&lt;1,0,_XLL.RISKBINOMIAL(ROUND(O321,0),S321))</f>
        <v>0</v>
      </c>
      <c r="S321" s="11">
        <f t="shared" si="61"/>
        <v>0.0002337817386286467</v>
      </c>
      <c r="U321" s="2">
        <f t="shared" si="56"/>
        <v>102</v>
      </c>
      <c r="V321" s="2">
        <f t="shared" si="57"/>
        <v>1224</v>
      </c>
      <c r="W321" s="2">
        <f t="shared" si="58"/>
        <v>68</v>
      </c>
    </row>
    <row r="322" spans="1:23" ht="12.75">
      <c r="A322">
        <v>1</v>
      </c>
      <c r="B322">
        <v>318</v>
      </c>
      <c r="C322" s="2">
        <f t="shared" si="62"/>
        <v>100.61538461538461</v>
      </c>
      <c r="D322" s="2">
        <f t="shared" si="63"/>
        <v>1.3846153846153846</v>
      </c>
      <c r="E322" s="2">
        <f t="shared" si="64"/>
        <v>10.061538461538461</v>
      </c>
      <c r="F322" s="2">
        <f t="shared" si="65"/>
        <v>0.13846153846153847</v>
      </c>
      <c r="G322" s="9">
        <f>_XLL.RISKOUTPUT(,"Contaminated food products during a shift",319)+D322/(C322+D322)</f>
        <v>0.013574660633484163</v>
      </c>
      <c r="H322" s="2">
        <f>IF(C322&lt;1,0,_XLL.RISKBINOMIAL(ROUND(C322,0),I322))</f>
        <v>0</v>
      </c>
      <c r="I322" s="8">
        <f t="shared" si="66"/>
        <v>5.569062148913506E-05</v>
      </c>
      <c r="J322" s="2">
        <f t="shared" si="59"/>
        <v>1220.7418090519864</v>
      </c>
      <c r="K322" s="2">
        <f t="shared" si="60"/>
        <v>3.2581909480136027</v>
      </c>
      <c r="L322" s="10">
        <f>_XLL.RISKOUTPUT(,"Contaminated food contact surfaces during a shift",319)+K322/(J322+K322)</f>
        <v>0.00266192070916144</v>
      </c>
      <c r="M322" s="2">
        <f>IF(J322&lt;1,0,_XLL.RISKBINOMIAL(ROUND(J322,0),N322))</f>
        <v>0</v>
      </c>
      <c r="N322" s="11">
        <f t="shared" si="67"/>
        <v>1.3308466217609727E-05</v>
      </c>
      <c r="O322" s="2">
        <f t="shared" si="68"/>
        <v>68</v>
      </c>
      <c r="P322" s="2">
        <f t="shared" si="69"/>
        <v>0</v>
      </c>
      <c r="Q322" s="10">
        <f>_XLL.RISKOUTPUT(,"Contaminated gloves during a shift",319)+P322/(O322+P322)</f>
        <v>0</v>
      </c>
      <c r="R322" s="2">
        <f>IF(O322&lt;1,0,_XLL.RISKBINOMIAL(ROUND(O322,0),S322))</f>
        <v>0</v>
      </c>
      <c r="S322" s="11">
        <f t="shared" si="61"/>
        <v>0.0002337817386286467</v>
      </c>
      <c r="U322" s="2">
        <f t="shared" si="56"/>
        <v>102</v>
      </c>
      <c r="V322" s="2">
        <f t="shared" si="57"/>
        <v>1224</v>
      </c>
      <c r="W322" s="2">
        <f t="shared" si="58"/>
        <v>68</v>
      </c>
    </row>
    <row r="323" spans="1:23" ht="12.75">
      <c r="A323">
        <v>1</v>
      </c>
      <c r="B323">
        <v>319</v>
      </c>
      <c r="C323" s="2">
        <f t="shared" si="62"/>
        <v>100.61538461538461</v>
      </c>
      <c r="D323" s="2">
        <f t="shared" si="63"/>
        <v>1.3846153846153846</v>
      </c>
      <c r="E323" s="2">
        <f t="shared" si="64"/>
        <v>10.061538461538461</v>
      </c>
      <c r="F323" s="2">
        <f t="shared" si="65"/>
        <v>0.13846153846153847</v>
      </c>
      <c r="G323" s="9">
        <f>_XLL.RISKOUTPUT(,"Contaminated food products during a shift",320)+D323/(C323+D323)</f>
        <v>0.013574660633484163</v>
      </c>
      <c r="H323" s="2">
        <f>IF(C323&lt;1,0,_XLL.RISKBINOMIAL(ROUND(C323,0),I323))</f>
        <v>0</v>
      </c>
      <c r="I323" s="8">
        <f t="shared" si="66"/>
        <v>5.569062148913506E-05</v>
      </c>
      <c r="J323" s="2">
        <f t="shared" si="59"/>
        <v>1220.7418090519864</v>
      </c>
      <c r="K323" s="2">
        <f t="shared" si="60"/>
        <v>3.2581909480136027</v>
      </c>
      <c r="L323" s="10">
        <f>_XLL.RISKOUTPUT(,"Contaminated food contact surfaces during a shift",320)+K323/(J323+K323)</f>
        <v>0.00266192070916144</v>
      </c>
      <c r="M323" s="2">
        <f>IF(J323&lt;1,0,_XLL.RISKBINOMIAL(ROUND(J323,0),N323))</f>
        <v>0</v>
      </c>
      <c r="N323" s="11">
        <f t="shared" si="67"/>
        <v>1.3308466217609727E-05</v>
      </c>
      <c r="O323" s="2">
        <f t="shared" si="68"/>
        <v>68</v>
      </c>
      <c r="P323" s="2">
        <f t="shared" si="69"/>
        <v>0</v>
      </c>
      <c r="Q323" s="10">
        <f>_XLL.RISKOUTPUT(,"Contaminated gloves during a shift",320)+P323/(O323+P323)</f>
        <v>0</v>
      </c>
      <c r="R323" s="2">
        <f>IF(O323&lt;1,0,_XLL.RISKBINOMIAL(ROUND(O323,0),S323))</f>
        <v>0</v>
      </c>
      <c r="S323" s="11">
        <f t="shared" si="61"/>
        <v>0.0002337817386286467</v>
      </c>
      <c r="U323" s="2">
        <f t="shared" si="56"/>
        <v>102</v>
      </c>
      <c r="V323" s="2">
        <f t="shared" si="57"/>
        <v>1224</v>
      </c>
      <c r="W323" s="2">
        <f t="shared" si="58"/>
        <v>68</v>
      </c>
    </row>
    <row r="324" spans="1:23" ht="12.75">
      <c r="A324">
        <v>1</v>
      </c>
      <c r="B324">
        <v>320</v>
      </c>
      <c r="C324" s="2">
        <f t="shared" si="62"/>
        <v>100.61538461538461</v>
      </c>
      <c r="D324" s="2">
        <f t="shared" si="63"/>
        <v>1.3846153846153846</v>
      </c>
      <c r="E324" s="2">
        <f t="shared" si="64"/>
        <v>10.061538461538461</v>
      </c>
      <c r="F324" s="2">
        <f t="shared" si="65"/>
        <v>0.13846153846153847</v>
      </c>
      <c r="G324" s="9">
        <f>_XLL.RISKOUTPUT(,"Contaminated food products during a shift",321)+D324/(C324+D324)</f>
        <v>0.013574660633484163</v>
      </c>
      <c r="H324" s="2">
        <f>IF(C324&lt;1,0,_XLL.RISKBINOMIAL(ROUND(C324,0),I324))</f>
        <v>0</v>
      </c>
      <c r="I324" s="8">
        <f t="shared" si="66"/>
        <v>5.569062148913506E-05</v>
      </c>
      <c r="J324" s="2">
        <f t="shared" si="59"/>
        <v>1220.7418090519864</v>
      </c>
      <c r="K324" s="2">
        <f t="shared" si="60"/>
        <v>3.2581909480136027</v>
      </c>
      <c r="L324" s="10">
        <f>_XLL.RISKOUTPUT(,"Contaminated food contact surfaces during a shift",321)+K324/(J324+K324)</f>
        <v>0.00266192070916144</v>
      </c>
      <c r="M324" s="2">
        <f>IF(J324&lt;1,0,_XLL.RISKBINOMIAL(ROUND(J324,0),N324))</f>
        <v>0</v>
      </c>
      <c r="N324" s="11">
        <f t="shared" si="67"/>
        <v>1.3308466217609727E-05</v>
      </c>
      <c r="O324" s="2">
        <f t="shared" si="68"/>
        <v>68</v>
      </c>
      <c r="P324" s="2">
        <f t="shared" si="69"/>
        <v>0</v>
      </c>
      <c r="Q324" s="10">
        <f>_XLL.RISKOUTPUT(,"Contaminated gloves during a shift",321)+P324/(O324+P324)</f>
        <v>0</v>
      </c>
      <c r="R324" s="2">
        <f>IF(O324&lt;1,0,_XLL.RISKBINOMIAL(ROUND(O324,0),S324))</f>
        <v>0</v>
      </c>
      <c r="S324" s="11">
        <f t="shared" si="61"/>
        <v>0.0002337817386286467</v>
      </c>
      <c r="U324" s="2">
        <f aca="true" t="shared" si="70" ref="U324:U387">C324+D324</f>
        <v>102</v>
      </c>
      <c r="V324" s="2">
        <f aca="true" t="shared" si="71" ref="V324:V387">J324+K324</f>
        <v>1224</v>
      </c>
      <c r="W324" s="2">
        <f aca="true" t="shared" si="72" ref="W324:W387">O324+P324</f>
        <v>68</v>
      </c>
    </row>
    <row r="325" spans="1:23" ht="12.75">
      <c r="A325">
        <v>1</v>
      </c>
      <c r="B325">
        <v>321</v>
      </c>
      <c r="C325" s="2">
        <f t="shared" si="62"/>
        <v>100.61538461538461</v>
      </c>
      <c r="D325" s="2">
        <f t="shared" si="63"/>
        <v>1.3846153846153846</v>
      </c>
      <c r="E325" s="2">
        <f t="shared" si="64"/>
        <v>10.061538461538461</v>
      </c>
      <c r="F325" s="2">
        <f t="shared" si="65"/>
        <v>0.13846153846153847</v>
      </c>
      <c r="G325" s="9">
        <f>_XLL.RISKOUTPUT(,"Contaminated food products during a shift",322)+D325/(C325+D325)</f>
        <v>0.013574660633484163</v>
      </c>
      <c r="H325" s="2">
        <f>IF(C325&lt;1,0,_XLL.RISKBINOMIAL(ROUND(C325,0),I325))</f>
        <v>0</v>
      </c>
      <c r="I325" s="8">
        <f t="shared" si="66"/>
        <v>5.569062148913506E-05</v>
      </c>
      <c r="J325" s="2">
        <f aca="true" t="shared" si="73" ref="J325:J388">IF(J324-M324+K324*(1-A325)&lt;0,0,J324-M324+K324*(1-A325))</f>
        <v>1220.7418090519864</v>
      </c>
      <c r="K325" s="2">
        <f aca="true" t="shared" si="74" ref="K325:K388">IF(K324+M324-K324*(1-A325)&lt;0,0,K324+M324-K324*(1-A325))</f>
        <v>3.2581909480136027</v>
      </c>
      <c r="L325" s="10">
        <f>_XLL.RISKOUTPUT(,"Contaminated food contact surfaces during a shift",322)+K325/(J325+K325)</f>
        <v>0.00266192070916144</v>
      </c>
      <c r="M325" s="2">
        <f>IF(J325&lt;1,0,_XLL.RISKBINOMIAL(ROUND(J325,0),N325))</f>
        <v>0</v>
      </c>
      <c r="N325" s="11">
        <f t="shared" si="67"/>
        <v>1.3308466217609727E-05</v>
      </c>
      <c r="O325" s="2">
        <f t="shared" si="68"/>
        <v>68</v>
      </c>
      <c r="P325" s="2">
        <f t="shared" si="69"/>
        <v>0</v>
      </c>
      <c r="Q325" s="10">
        <f>_XLL.RISKOUTPUT(,"Contaminated gloves during a shift",322)+P325/(O325+P325)</f>
        <v>0</v>
      </c>
      <c r="R325" s="2">
        <f>IF(O325&lt;1,0,_XLL.RISKBINOMIAL(ROUND(O325,0),S325))</f>
        <v>0</v>
      </c>
      <c r="S325" s="11">
        <f aca="true" t="shared" si="75" ref="S325:S388">(1-((1-p_FP_G)^(D325)*(1-p_FCS_G)^(K325)*(1-p_G_E)^(pE*nE)))</f>
        <v>0.0002337817386286467</v>
      </c>
      <c r="U325" s="2">
        <f t="shared" si="70"/>
        <v>102</v>
      </c>
      <c r="V325" s="2">
        <f t="shared" si="71"/>
        <v>1224</v>
      </c>
      <c r="W325" s="2">
        <f t="shared" si="72"/>
        <v>68</v>
      </c>
    </row>
    <row r="326" spans="1:23" ht="12.75">
      <c r="A326">
        <v>1</v>
      </c>
      <c r="B326">
        <v>322</v>
      </c>
      <c r="C326" s="2">
        <f aca="true" t="shared" si="76" ref="C326:C389">IF(C325-H325-pr*C325+nFP*pr*(1-pFP)&lt;0,0,C325-H325-pr*C325+nFP*pr*(1-pFP))</f>
        <v>100.61538461538461</v>
      </c>
      <c r="D326" s="2">
        <f aca="true" t="shared" si="77" ref="D326:D389">IF(D325+H325+pr*nFP*pFP-D325*pr&lt;0,0,D325+H325+pr*nFP*pFP-D325*pr)</f>
        <v>1.3846153846153846</v>
      </c>
      <c r="E326" s="2">
        <f aca="true" t="shared" si="78" ref="E326:E389">C326*pr</f>
        <v>10.061538461538461</v>
      </c>
      <c r="F326" s="2">
        <f aca="true" t="shared" si="79" ref="F326:F389">D326*pr</f>
        <v>0.13846153846153847</v>
      </c>
      <c r="G326" s="9">
        <f>_XLL.RISKOUTPUT(,"Contaminated food products during a shift",323)+D326/(C326+D326)</f>
        <v>0.013574660633484163</v>
      </c>
      <c r="H326" s="2">
        <f>IF(C326&lt;1,0,_XLL.RISKBINOMIAL(ROUND(C326,0),I326))</f>
        <v>0</v>
      </c>
      <c r="I326" s="8">
        <f aca="true" t="shared" si="80" ref="I326:I389">(1-((1-p_FCS_FP)^(K326))*((1-p_G_FP)^(P326))*((1-p_FP_FP)^(D326)))</f>
        <v>5.569062148913506E-05</v>
      </c>
      <c r="J326" s="2">
        <f t="shared" si="73"/>
        <v>1220.7418090519864</v>
      </c>
      <c r="K326" s="2">
        <f t="shared" si="74"/>
        <v>3.2581909480136027</v>
      </c>
      <c r="L326" s="10">
        <f>_XLL.RISKOUTPUT(,"Contaminated food contact surfaces during a shift",323)+K326/(J326+K326)</f>
        <v>0.00266192070916144</v>
      </c>
      <c r="M326" s="2">
        <f>IF(J326&lt;1,0,_XLL.RISKBINOMIAL(ROUND(J326,0),N326))</f>
        <v>0</v>
      </c>
      <c r="N326" s="11">
        <f aca="true" t="shared" si="81" ref="N326:N389">(1-((1-p_FP_FCS)^(D326))*((1-p_G_FCS)^(P326)))</f>
        <v>1.3308466217609727E-05</v>
      </c>
      <c r="O326" s="2">
        <f aca="true" t="shared" si="82" ref="O326:O389">IF(O325-R325+nG*G_h-O325*G_h&lt;0,0,O325-R325+nG*G_h-O325*G_h)</f>
        <v>68</v>
      </c>
      <c r="P326" s="2">
        <f aca="true" t="shared" si="83" ref="P326:P389">IF(P325+R325-P325*G_h&lt;0,0,P325+R325-P325*G_h)</f>
        <v>0</v>
      </c>
      <c r="Q326" s="10">
        <f>_XLL.RISKOUTPUT(,"Contaminated gloves during a shift",323)+P326/(O326+P326)</f>
        <v>0</v>
      </c>
      <c r="R326" s="2">
        <f>IF(O326&lt;1,0,_XLL.RISKBINOMIAL(ROUND(O326,0),S326))</f>
        <v>0</v>
      </c>
      <c r="S326" s="11">
        <f t="shared" si="75"/>
        <v>0.0002337817386286467</v>
      </c>
      <c r="U326" s="2">
        <f t="shared" si="70"/>
        <v>102</v>
      </c>
      <c r="V326" s="2">
        <f t="shared" si="71"/>
        <v>1224</v>
      </c>
      <c r="W326" s="2">
        <f t="shared" si="72"/>
        <v>68</v>
      </c>
    </row>
    <row r="327" spans="1:23" ht="12.75">
      <c r="A327">
        <v>1</v>
      </c>
      <c r="B327">
        <v>323</v>
      </c>
      <c r="C327" s="2">
        <f t="shared" si="76"/>
        <v>100.61538461538461</v>
      </c>
      <c r="D327" s="2">
        <f t="shared" si="77"/>
        <v>1.3846153846153846</v>
      </c>
      <c r="E327" s="2">
        <f t="shared" si="78"/>
        <v>10.061538461538461</v>
      </c>
      <c r="F327" s="2">
        <f t="shared" si="79"/>
        <v>0.13846153846153847</v>
      </c>
      <c r="G327" s="9">
        <f>_XLL.RISKOUTPUT(,"Contaminated food products during a shift",324)+D327/(C327+D327)</f>
        <v>0.013574660633484163</v>
      </c>
      <c r="H327" s="2">
        <f>IF(C327&lt;1,0,_XLL.RISKBINOMIAL(ROUND(C327,0),I327))</f>
        <v>0</v>
      </c>
      <c r="I327" s="8">
        <f t="shared" si="80"/>
        <v>5.569062148913506E-05</v>
      </c>
      <c r="J327" s="2">
        <f t="shared" si="73"/>
        <v>1220.7418090519864</v>
      </c>
      <c r="K327" s="2">
        <f t="shared" si="74"/>
        <v>3.2581909480136027</v>
      </c>
      <c r="L327" s="10">
        <f>_XLL.RISKOUTPUT(,"Contaminated food contact surfaces during a shift",324)+K327/(J327+K327)</f>
        <v>0.00266192070916144</v>
      </c>
      <c r="M327" s="2">
        <f>IF(J327&lt;1,0,_XLL.RISKBINOMIAL(ROUND(J327,0),N327))</f>
        <v>0</v>
      </c>
      <c r="N327" s="11">
        <f t="shared" si="81"/>
        <v>1.3308466217609727E-05</v>
      </c>
      <c r="O327" s="2">
        <f t="shared" si="82"/>
        <v>68</v>
      </c>
      <c r="P327" s="2">
        <f t="shared" si="83"/>
        <v>0</v>
      </c>
      <c r="Q327" s="10">
        <f>_XLL.RISKOUTPUT(,"Contaminated gloves during a shift",324)+P327/(O327+P327)</f>
        <v>0</v>
      </c>
      <c r="R327" s="2">
        <f>IF(O327&lt;1,0,_XLL.RISKBINOMIAL(ROUND(O327,0),S327))</f>
        <v>0</v>
      </c>
      <c r="S327" s="11">
        <f t="shared" si="75"/>
        <v>0.0002337817386286467</v>
      </c>
      <c r="U327" s="2">
        <f t="shared" si="70"/>
        <v>102</v>
      </c>
      <c r="V327" s="2">
        <f t="shared" si="71"/>
        <v>1224</v>
      </c>
      <c r="W327" s="2">
        <f t="shared" si="72"/>
        <v>68</v>
      </c>
    </row>
    <row r="328" spans="1:23" ht="12.75">
      <c r="A328">
        <v>1</v>
      </c>
      <c r="B328">
        <v>324</v>
      </c>
      <c r="C328" s="2">
        <f t="shared" si="76"/>
        <v>100.61538461538461</v>
      </c>
      <c r="D328" s="2">
        <f t="shared" si="77"/>
        <v>1.3846153846153846</v>
      </c>
      <c r="E328" s="2">
        <f t="shared" si="78"/>
        <v>10.061538461538461</v>
      </c>
      <c r="F328" s="2">
        <f t="shared" si="79"/>
        <v>0.13846153846153847</v>
      </c>
      <c r="G328" s="9">
        <f>_XLL.RISKOUTPUT(,"Contaminated food products during a shift",325)+D328/(C328+D328)</f>
        <v>0.013574660633484163</v>
      </c>
      <c r="H328" s="2">
        <f>IF(C328&lt;1,0,_XLL.RISKBINOMIAL(ROUND(C328,0),I328))</f>
        <v>0</v>
      </c>
      <c r="I328" s="8">
        <f t="shared" si="80"/>
        <v>5.569062148913506E-05</v>
      </c>
      <c r="J328" s="2">
        <f t="shared" si="73"/>
        <v>1220.7418090519864</v>
      </c>
      <c r="K328" s="2">
        <f t="shared" si="74"/>
        <v>3.2581909480136027</v>
      </c>
      <c r="L328" s="10">
        <f>_XLL.RISKOUTPUT(,"Contaminated food contact surfaces during a shift",325)+K328/(J328+K328)</f>
        <v>0.00266192070916144</v>
      </c>
      <c r="M328" s="2">
        <f>IF(J328&lt;1,0,_XLL.RISKBINOMIAL(ROUND(J328,0),N328))</f>
        <v>0</v>
      </c>
      <c r="N328" s="11">
        <f t="shared" si="81"/>
        <v>1.3308466217609727E-05</v>
      </c>
      <c r="O328" s="2">
        <f t="shared" si="82"/>
        <v>68</v>
      </c>
      <c r="P328" s="2">
        <f t="shared" si="83"/>
        <v>0</v>
      </c>
      <c r="Q328" s="10">
        <f>_XLL.RISKOUTPUT(,"Contaminated gloves during a shift",325)+P328/(O328+P328)</f>
        <v>0</v>
      </c>
      <c r="R328" s="2">
        <f>IF(O328&lt;1,0,_XLL.RISKBINOMIAL(ROUND(O328,0),S328))</f>
        <v>0</v>
      </c>
      <c r="S328" s="11">
        <f t="shared" si="75"/>
        <v>0.0002337817386286467</v>
      </c>
      <c r="U328" s="2">
        <f t="shared" si="70"/>
        <v>102</v>
      </c>
      <c r="V328" s="2">
        <f t="shared" si="71"/>
        <v>1224</v>
      </c>
      <c r="W328" s="2">
        <f t="shared" si="72"/>
        <v>68</v>
      </c>
    </row>
    <row r="329" spans="1:23" ht="12.75">
      <c r="A329">
        <v>1</v>
      </c>
      <c r="B329">
        <v>325</v>
      </c>
      <c r="C329" s="2">
        <f t="shared" si="76"/>
        <v>100.61538461538461</v>
      </c>
      <c r="D329" s="2">
        <f t="shared" si="77"/>
        <v>1.3846153846153846</v>
      </c>
      <c r="E329" s="2">
        <f t="shared" si="78"/>
        <v>10.061538461538461</v>
      </c>
      <c r="F329" s="2">
        <f t="shared" si="79"/>
        <v>0.13846153846153847</v>
      </c>
      <c r="G329" s="9">
        <f>_XLL.RISKOUTPUT(,"Contaminated food products during a shift",326)+D329/(C329+D329)</f>
        <v>0.013574660633484163</v>
      </c>
      <c r="H329" s="2">
        <f>IF(C329&lt;1,0,_XLL.RISKBINOMIAL(ROUND(C329,0),I329))</f>
        <v>0</v>
      </c>
      <c r="I329" s="8">
        <f t="shared" si="80"/>
        <v>5.569062148913506E-05</v>
      </c>
      <c r="J329" s="2">
        <f t="shared" si="73"/>
        <v>1220.7418090519864</v>
      </c>
      <c r="K329" s="2">
        <f t="shared" si="74"/>
        <v>3.2581909480136027</v>
      </c>
      <c r="L329" s="10">
        <f>_XLL.RISKOUTPUT(,"Contaminated food contact surfaces during a shift",326)+K329/(J329+K329)</f>
        <v>0.00266192070916144</v>
      </c>
      <c r="M329" s="2">
        <f>IF(J329&lt;1,0,_XLL.RISKBINOMIAL(ROUND(J329,0),N329))</f>
        <v>0</v>
      </c>
      <c r="N329" s="11">
        <f t="shared" si="81"/>
        <v>1.3308466217609727E-05</v>
      </c>
      <c r="O329" s="2">
        <f t="shared" si="82"/>
        <v>68</v>
      </c>
      <c r="P329" s="2">
        <f t="shared" si="83"/>
        <v>0</v>
      </c>
      <c r="Q329" s="10">
        <f>_XLL.RISKOUTPUT(,"Contaminated gloves during a shift",326)+P329/(O329+P329)</f>
        <v>0</v>
      </c>
      <c r="R329" s="2">
        <f>IF(O329&lt;1,0,_XLL.RISKBINOMIAL(ROUND(O329,0),S329))</f>
        <v>0</v>
      </c>
      <c r="S329" s="11">
        <f t="shared" si="75"/>
        <v>0.0002337817386286467</v>
      </c>
      <c r="U329" s="2">
        <f t="shared" si="70"/>
        <v>102</v>
      </c>
      <c r="V329" s="2">
        <f t="shared" si="71"/>
        <v>1224</v>
      </c>
      <c r="W329" s="2">
        <f t="shared" si="72"/>
        <v>68</v>
      </c>
    </row>
    <row r="330" spans="1:23" ht="12.75">
      <c r="A330">
        <v>1</v>
      </c>
      <c r="B330">
        <v>326</v>
      </c>
      <c r="C330" s="2">
        <f t="shared" si="76"/>
        <v>100.61538461538461</v>
      </c>
      <c r="D330" s="2">
        <f t="shared" si="77"/>
        <v>1.3846153846153846</v>
      </c>
      <c r="E330" s="2">
        <f t="shared" si="78"/>
        <v>10.061538461538461</v>
      </c>
      <c r="F330" s="2">
        <f t="shared" si="79"/>
        <v>0.13846153846153847</v>
      </c>
      <c r="G330" s="9">
        <f>_XLL.RISKOUTPUT(,"Contaminated food products during a shift",327)+D330/(C330+D330)</f>
        <v>0.013574660633484163</v>
      </c>
      <c r="H330" s="2">
        <f>IF(C330&lt;1,0,_XLL.RISKBINOMIAL(ROUND(C330,0),I330))</f>
        <v>0</v>
      </c>
      <c r="I330" s="8">
        <f t="shared" si="80"/>
        <v>5.569062148913506E-05</v>
      </c>
      <c r="J330" s="2">
        <f t="shared" si="73"/>
        <v>1220.7418090519864</v>
      </c>
      <c r="K330" s="2">
        <f t="shared" si="74"/>
        <v>3.2581909480136027</v>
      </c>
      <c r="L330" s="10">
        <f>_XLL.RISKOUTPUT(,"Contaminated food contact surfaces during a shift",327)+K330/(J330+K330)</f>
        <v>0.00266192070916144</v>
      </c>
      <c r="M330" s="2">
        <f>IF(J330&lt;1,0,_XLL.RISKBINOMIAL(ROUND(J330,0),N330))</f>
        <v>0</v>
      </c>
      <c r="N330" s="11">
        <f t="shared" si="81"/>
        <v>1.3308466217609727E-05</v>
      </c>
      <c r="O330" s="2">
        <f t="shared" si="82"/>
        <v>68</v>
      </c>
      <c r="P330" s="2">
        <f t="shared" si="83"/>
        <v>0</v>
      </c>
      <c r="Q330" s="10">
        <f>_XLL.RISKOUTPUT(,"Contaminated gloves during a shift",327)+P330/(O330+P330)</f>
        <v>0</v>
      </c>
      <c r="R330" s="2">
        <f>IF(O330&lt;1,0,_XLL.RISKBINOMIAL(ROUND(O330,0),S330))</f>
        <v>0</v>
      </c>
      <c r="S330" s="11">
        <f t="shared" si="75"/>
        <v>0.0002337817386286467</v>
      </c>
      <c r="U330" s="2">
        <f t="shared" si="70"/>
        <v>102</v>
      </c>
      <c r="V330" s="2">
        <f t="shared" si="71"/>
        <v>1224</v>
      </c>
      <c r="W330" s="2">
        <f t="shared" si="72"/>
        <v>68</v>
      </c>
    </row>
    <row r="331" spans="1:23" ht="12.75">
      <c r="A331">
        <v>1</v>
      </c>
      <c r="B331">
        <v>327</v>
      </c>
      <c r="C331" s="2">
        <f t="shared" si="76"/>
        <v>100.61538461538461</v>
      </c>
      <c r="D331" s="2">
        <f t="shared" si="77"/>
        <v>1.3846153846153846</v>
      </c>
      <c r="E331" s="2">
        <f t="shared" si="78"/>
        <v>10.061538461538461</v>
      </c>
      <c r="F331" s="2">
        <f t="shared" si="79"/>
        <v>0.13846153846153847</v>
      </c>
      <c r="G331" s="9">
        <f>_XLL.RISKOUTPUT(,"Contaminated food products during a shift",328)+D331/(C331+D331)</f>
        <v>0.013574660633484163</v>
      </c>
      <c r="H331" s="2">
        <f>IF(C331&lt;1,0,_XLL.RISKBINOMIAL(ROUND(C331,0),I331))</f>
        <v>0</v>
      </c>
      <c r="I331" s="8">
        <f t="shared" si="80"/>
        <v>5.569062148913506E-05</v>
      </c>
      <c r="J331" s="2">
        <f t="shared" si="73"/>
        <v>1220.7418090519864</v>
      </c>
      <c r="K331" s="2">
        <f t="shared" si="74"/>
        <v>3.2581909480136027</v>
      </c>
      <c r="L331" s="10">
        <f>_XLL.RISKOUTPUT(,"Contaminated food contact surfaces during a shift",328)+K331/(J331+K331)</f>
        <v>0.00266192070916144</v>
      </c>
      <c r="M331" s="2">
        <f>IF(J331&lt;1,0,_XLL.RISKBINOMIAL(ROUND(J331,0),N331))</f>
        <v>0</v>
      </c>
      <c r="N331" s="11">
        <f t="shared" si="81"/>
        <v>1.3308466217609727E-05</v>
      </c>
      <c r="O331" s="2">
        <f t="shared" si="82"/>
        <v>68</v>
      </c>
      <c r="P331" s="2">
        <f t="shared" si="83"/>
        <v>0</v>
      </c>
      <c r="Q331" s="10">
        <f>_XLL.RISKOUTPUT(,"Contaminated gloves during a shift",328)+P331/(O331+P331)</f>
        <v>0</v>
      </c>
      <c r="R331" s="2">
        <f>IF(O331&lt;1,0,_XLL.RISKBINOMIAL(ROUND(O331,0),S331))</f>
        <v>0</v>
      </c>
      <c r="S331" s="11">
        <f t="shared" si="75"/>
        <v>0.0002337817386286467</v>
      </c>
      <c r="U331" s="2">
        <f t="shared" si="70"/>
        <v>102</v>
      </c>
      <c r="V331" s="2">
        <f t="shared" si="71"/>
        <v>1224</v>
      </c>
      <c r="W331" s="2">
        <f t="shared" si="72"/>
        <v>68</v>
      </c>
    </row>
    <row r="332" spans="1:23" ht="12.75">
      <c r="A332">
        <v>1</v>
      </c>
      <c r="B332">
        <v>328</v>
      </c>
      <c r="C332" s="2">
        <f t="shared" si="76"/>
        <v>100.61538461538461</v>
      </c>
      <c r="D332" s="2">
        <f t="shared" si="77"/>
        <v>1.3846153846153846</v>
      </c>
      <c r="E332" s="2">
        <f t="shared" si="78"/>
        <v>10.061538461538461</v>
      </c>
      <c r="F332" s="2">
        <f t="shared" si="79"/>
        <v>0.13846153846153847</v>
      </c>
      <c r="G332" s="9">
        <f>_XLL.RISKOUTPUT(,"Contaminated food products during a shift",329)+D332/(C332+D332)</f>
        <v>0.013574660633484163</v>
      </c>
      <c r="H332" s="2">
        <f>IF(C332&lt;1,0,_XLL.RISKBINOMIAL(ROUND(C332,0),I332))</f>
        <v>0</v>
      </c>
      <c r="I332" s="8">
        <f t="shared" si="80"/>
        <v>5.569062148913506E-05</v>
      </c>
      <c r="J332" s="2">
        <f t="shared" si="73"/>
        <v>1220.7418090519864</v>
      </c>
      <c r="K332" s="2">
        <f t="shared" si="74"/>
        <v>3.2581909480136027</v>
      </c>
      <c r="L332" s="10">
        <f>_XLL.RISKOUTPUT(,"Contaminated food contact surfaces during a shift",329)+K332/(J332+K332)</f>
        <v>0.00266192070916144</v>
      </c>
      <c r="M332" s="2">
        <f>IF(J332&lt;1,0,_XLL.RISKBINOMIAL(ROUND(J332,0),N332))</f>
        <v>0</v>
      </c>
      <c r="N332" s="11">
        <f t="shared" si="81"/>
        <v>1.3308466217609727E-05</v>
      </c>
      <c r="O332" s="2">
        <f t="shared" si="82"/>
        <v>68</v>
      </c>
      <c r="P332" s="2">
        <f t="shared" si="83"/>
        <v>0</v>
      </c>
      <c r="Q332" s="10">
        <f>_XLL.RISKOUTPUT(,"Contaminated gloves during a shift",329)+P332/(O332+P332)</f>
        <v>0</v>
      </c>
      <c r="R332" s="2">
        <f>IF(O332&lt;1,0,_XLL.RISKBINOMIAL(ROUND(O332,0),S332))</f>
        <v>0</v>
      </c>
      <c r="S332" s="11">
        <f t="shared" si="75"/>
        <v>0.0002337817386286467</v>
      </c>
      <c r="U332" s="2">
        <f t="shared" si="70"/>
        <v>102</v>
      </c>
      <c r="V332" s="2">
        <f t="shared" si="71"/>
        <v>1224</v>
      </c>
      <c r="W332" s="2">
        <f t="shared" si="72"/>
        <v>68</v>
      </c>
    </row>
    <row r="333" spans="1:23" ht="12.75">
      <c r="A333">
        <v>1</v>
      </c>
      <c r="B333">
        <v>329</v>
      </c>
      <c r="C333" s="2">
        <f t="shared" si="76"/>
        <v>100.61538461538461</v>
      </c>
      <c r="D333" s="2">
        <f t="shared" si="77"/>
        <v>1.3846153846153846</v>
      </c>
      <c r="E333" s="2">
        <f t="shared" si="78"/>
        <v>10.061538461538461</v>
      </c>
      <c r="F333" s="2">
        <f t="shared" si="79"/>
        <v>0.13846153846153847</v>
      </c>
      <c r="G333" s="9">
        <f>_XLL.RISKOUTPUT(,"Contaminated food products during a shift",330)+D333/(C333+D333)</f>
        <v>0.013574660633484163</v>
      </c>
      <c r="H333" s="2">
        <f>IF(C333&lt;1,0,_XLL.RISKBINOMIAL(ROUND(C333,0),I333))</f>
        <v>0</v>
      </c>
      <c r="I333" s="8">
        <f t="shared" si="80"/>
        <v>5.569062148913506E-05</v>
      </c>
      <c r="J333" s="2">
        <f t="shared" si="73"/>
        <v>1220.7418090519864</v>
      </c>
      <c r="K333" s="2">
        <f t="shared" si="74"/>
        <v>3.2581909480136027</v>
      </c>
      <c r="L333" s="10">
        <f>_XLL.RISKOUTPUT(,"Contaminated food contact surfaces during a shift",330)+K333/(J333+K333)</f>
        <v>0.00266192070916144</v>
      </c>
      <c r="M333" s="2">
        <f>IF(J333&lt;1,0,_XLL.RISKBINOMIAL(ROUND(J333,0),N333))</f>
        <v>0</v>
      </c>
      <c r="N333" s="11">
        <f t="shared" si="81"/>
        <v>1.3308466217609727E-05</v>
      </c>
      <c r="O333" s="2">
        <f t="shared" si="82"/>
        <v>68</v>
      </c>
      <c r="P333" s="2">
        <f t="shared" si="83"/>
        <v>0</v>
      </c>
      <c r="Q333" s="10">
        <f>_XLL.RISKOUTPUT(,"Contaminated gloves during a shift",330)+P333/(O333+P333)</f>
        <v>0</v>
      </c>
      <c r="R333" s="2">
        <f>IF(O333&lt;1,0,_XLL.RISKBINOMIAL(ROUND(O333,0),S333))</f>
        <v>0</v>
      </c>
      <c r="S333" s="11">
        <f t="shared" si="75"/>
        <v>0.0002337817386286467</v>
      </c>
      <c r="U333" s="2">
        <f t="shared" si="70"/>
        <v>102</v>
      </c>
      <c r="V333" s="2">
        <f t="shared" si="71"/>
        <v>1224</v>
      </c>
      <c r="W333" s="2">
        <f t="shared" si="72"/>
        <v>68</v>
      </c>
    </row>
    <row r="334" spans="1:23" ht="12.75">
      <c r="A334">
        <v>1</v>
      </c>
      <c r="B334">
        <v>330</v>
      </c>
      <c r="C334" s="2">
        <f t="shared" si="76"/>
        <v>100.61538461538461</v>
      </c>
      <c r="D334" s="2">
        <f t="shared" si="77"/>
        <v>1.3846153846153846</v>
      </c>
      <c r="E334" s="2">
        <f t="shared" si="78"/>
        <v>10.061538461538461</v>
      </c>
      <c r="F334" s="2">
        <f t="shared" si="79"/>
        <v>0.13846153846153847</v>
      </c>
      <c r="G334" s="9">
        <f>_XLL.RISKOUTPUT(,"Contaminated food products during a shift",331)+D334/(C334+D334)</f>
        <v>0.013574660633484163</v>
      </c>
      <c r="H334" s="2">
        <f>IF(C334&lt;1,0,_XLL.RISKBINOMIAL(ROUND(C334,0),I334))</f>
        <v>0</v>
      </c>
      <c r="I334" s="8">
        <f t="shared" si="80"/>
        <v>5.569062148913506E-05</v>
      </c>
      <c r="J334" s="2">
        <f t="shared" si="73"/>
        <v>1220.7418090519864</v>
      </c>
      <c r="K334" s="2">
        <f t="shared" si="74"/>
        <v>3.2581909480136027</v>
      </c>
      <c r="L334" s="10">
        <f>_XLL.RISKOUTPUT(,"Contaminated food contact surfaces during a shift",331)+K334/(J334+K334)</f>
        <v>0.00266192070916144</v>
      </c>
      <c r="M334" s="2">
        <f>IF(J334&lt;1,0,_XLL.RISKBINOMIAL(ROUND(J334,0),N334))</f>
        <v>0</v>
      </c>
      <c r="N334" s="11">
        <f t="shared" si="81"/>
        <v>1.3308466217609727E-05</v>
      </c>
      <c r="O334" s="2">
        <f t="shared" si="82"/>
        <v>68</v>
      </c>
      <c r="P334" s="2">
        <f t="shared" si="83"/>
        <v>0</v>
      </c>
      <c r="Q334" s="10">
        <f>_XLL.RISKOUTPUT(,"Contaminated gloves during a shift",331)+P334/(O334+P334)</f>
        <v>0</v>
      </c>
      <c r="R334" s="2">
        <f>IF(O334&lt;1,0,_XLL.RISKBINOMIAL(ROUND(O334,0),S334))</f>
        <v>0</v>
      </c>
      <c r="S334" s="11">
        <f t="shared" si="75"/>
        <v>0.0002337817386286467</v>
      </c>
      <c r="U334" s="2">
        <f t="shared" si="70"/>
        <v>102</v>
      </c>
      <c r="V334" s="2">
        <f t="shared" si="71"/>
        <v>1224</v>
      </c>
      <c r="W334" s="2">
        <f t="shared" si="72"/>
        <v>68</v>
      </c>
    </row>
    <row r="335" spans="1:23" ht="12.75">
      <c r="A335">
        <v>1</v>
      </c>
      <c r="B335">
        <v>331</v>
      </c>
      <c r="C335" s="2">
        <f t="shared" si="76"/>
        <v>100.61538461538461</v>
      </c>
      <c r="D335" s="2">
        <f t="shared" si="77"/>
        <v>1.3846153846153846</v>
      </c>
      <c r="E335" s="2">
        <f t="shared" si="78"/>
        <v>10.061538461538461</v>
      </c>
      <c r="F335" s="2">
        <f t="shared" si="79"/>
        <v>0.13846153846153847</v>
      </c>
      <c r="G335" s="9">
        <f>_XLL.RISKOUTPUT(,"Contaminated food products during a shift",332)+D335/(C335+D335)</f>
        <v>0.013574660633484163</v>
      </c>
      <c r="H335" s="2">
        <f>IF(C335&lt;1,0,_XLL.RISKBINOMIAL(ROUND(C335,0),I335))</f>
        <v>0</v>
      </c>
      <c r="I335" s="8">
        <f t="shared" si="80"/>
        <v>5.569062148913506E-05</v>
      </c>
      <c r="J335" s="2">
        <f t="shared" si="73"/>
        <v>1220.7418090519864</v>
      </c>
      <c r="K335" s="2">
        <f t="shared" si="74"/>
        <v>3.2581909480136027</v>
      </c>
      <c r="L335" s="10">
        <f>_XLL.RISKOUTPUT(,"Contaminated food contact surfaces during a shift",332)+K335/(J335+K335)</f>
        <v>0.00266192070916144</v>
      </c>
      <c r="M335" s="2">
        <f>IF(J335&lt;1,0,_XLL.RISKBINOMIAL(ROUND(J335,0),N335))</f>
        <v>0</v>
      </c>
      <c r="N335" s="11">
        <f t="shared" si="81"/>
        <v>1.3308466217609727E-05</v>
      </c>
      <c r="O335" s="2">
        <f t="shared" si="82"/>
        <v>68</v>
      </c>
      <c r="P335" s="2">
        <f t="shared" si="83"/>
        <v>0</v>
      </c>
      <c r="Q335" s="10">
        <f>_XLL.RISKOUTPUT(,"Contaminated gloves during a shift",332)+P335/(O335+P335)</f>
        <v>0</v>
      </c>
      <c r="R335" s="2">
        <f>IF(O335&lt;1,0,_XLL.RISKBINOMIAL(ROUND(O335,0),S335))</f>
        <v>0</v>
      </c>
      <c r="S335" s="11">
        <f t="shared" si="75"/>
        <v>0.0002337817386286467</v>
      </c>
      <c r="U335" s="2">
        <f t="shared" si="70"/>
        <v>102</v>
      </c>
      <c r="V335" s="2">
        <f t="shared" si="71"/>
        <v>1224</v>
      </c>
      <c r="W335" s="2">
        <f t="shared" si="72"/>
        <v>68</v>
      </c>
    </row>
    <row r="336" spans="1:23" ht="12.75">
      <c r="A336">
        <v>1</v>
      </c>
      <c r="B336">
        <v>332</v>
      </c>
      <c r="C336" s="2">
        <f t="shared" si="76"/>
        <v>100.61538461538461</v>
      </c>
      <c r="D336" s="2">
        <f t="shared" si="77"/>
        <v>1.3846153846153846</v>
      </c>
      <c r="E336" s="2">
        <f t="shared" si="78"/>
        <v>10.061538461538461</v>
      </c>
      <c r="F336" s="2">
        <f t="shared" si="79"/>
        <v>0.13846153846153847</v>
      </c>
      <c r="G336" s="9">
        <f>_XLL.RISKOUTPUT(,"Contaminated food products during a shift",333)+D336/(C336+D336)</f>
        <v>0.013574660633484163</v>
      </c>
      <c r="H336" s="2">
        <f>IF(C336&lt;1,0,_XLL.RISKBINOMIAL(ROUND(C336,0),I336))</f>
        <v>0</v>
      </c>
      <c r="I336" s="8">
        <f t="shared" si="80"/>
        <v>5.569062148913506E-05</v>
      </c>
      <c r="J336" s="2">
        <f t="shared" si="73"/>
        <v>1220.7418090519864</v>
      </c>
      <c r="K336" s="2">
        <f t="shared" si="74"/>
        <v>3.2581909480136027</v>
      </c>
      <c r="L336" s="10">
        <f>_XLL.RISKOUTPUT(,"Contaminated food contact surfaces during a shift",333)+K336/(J336+K336)</f>
        <v>0.00266192070916144</v>
      </c>
      <c r="M336" s="2">
        <f>IF(J336&lt;1,0,_XLL.RISKBINOMIAL(ROUND(J336,0),N336))</f>
        <v>0</v>
      </c>
      <c r="N336" s="11">
        <f t="shared" si="81"/>
        <v>1.3308466217609727E-05</v>
      </c>
      <c r="O336" s="2">
        <f t="shared" si="82"/>
        <v>68</v>
      </c>
      <c r="P336" s="2">
        <f t="shared" si="83"/>
        <v>0</v>
      </c>
      <c r="Q336" s="10">
        <f>_XLL.RISKOUTPUT(,"Contaminated gloves during a shift",333)+P336/(O336+P336)</f>
        <v>0</v>
      </c>
      <c r="R336" s="2">
        <f>IF(O336&lt;1,0,_XLL.RISKBINOMIAL(ROUND(O336,0),S336))</f>
        <v>0</v>
      </c>
      <c r="S336" s="11">
        <f t="shared" si="75"/>
        <v>0.0002337817386286467</v>
      </c>
      <c r="U336" s="2">
        <f t="shared" si="70"/>
        <v>102</v>
      </c>
      <c r="V336" s="2">
        <f t="shared" si="71"/>
        <v>1224</v>
      </c>
      <c r="W336" s="2">
        <f t="shared" si="72"/>
        <v>68</v>
      </c>
    </row>
    <row r="337" spans="1:23" ht="12.75">
      <c r="A337">
        <v>1</v>
      </c>
      <c r="B337">
        <v>333</v>
      </c>
      <c r="C337" s="2">
        <f t="shared" si="76"/>
        <v>100.61538461538461</v>
      </c>
      <c r="D337" s="2">
        <f t="shared" si="77"/>
        <v>1.3846153846153846</v>
      </c>
      <c r="E337" s="2">
        <f t="shared" si="78"/>
        <v>10.061538461538461</v>
      </c>
      <c r="F337" s="2">
        <f t="shared" si="79"/>
        <v>0.13846153846153847</v>
      </c>
      <c r="G337" s="9">
        <f>_XLL.RISKOUTPUT(,"Contaminated food products during a shift",334)+D337/(C337+D337)</f>
        <v>0.013574660633484163</v>
      </c>
      <c r="H337" s="2">
        <f>IF(C337&lt;1,0,_XLL.RISKBINOMIAL(ROUND(C337,0),I337))</f>
        <v>0</v>
      </c>
      <c r="I337" s="8">
        <f t="shared" si="80"/>
        <v>5.569062148913506E-05</v>
      </c>
      <c r="J337" s="2">
        <f t="shared" si="73"/>
        <v>1220.7418090519864</v>
      </c>
      <c r="K337" s="2">
        <f t="shared" si="74"/>
        <v>3.2581909480136027</v>
      </c>
      <c r="L337" s="10">
        <f>_XLL.RISKOUTPUT(,"Contaminated food contact surfaces during a shift",334)+K337/(J337+K337)</f>
        <v>0.00266192070916144</v>
      </c>
      <c r="M337" s="2">
        <f>IF(J337&lt;1,0,_XLL.RISKBINOMIAL(ROUND(J337,0),N337))</f>
        <v>0</v>
      </c>
      <c r="N337" s="11">
        <f t="shared" si="81"/>
        <v>1.3308466217609727E-05</v>
      </c>
      <c r="O337" s="2">
        <f t="shared" si="82"/>
        <v>68</v>
      </c>
      <c r="P337" s="2">
        <f t="shared" si="83"/>
        <v>0</v>
      </c>
      <c r="Q337" s="10">
        <f>_XLL.RISKOUTPUT(,"Contaminated gloves during a shift",334)+P337/(O337+P337)</f>
        <v>0</v>
      </c>
      <c r="R337" s="2">
        <f>IF(O337&lt;1,0,_XLL.RISKBINOMIAL(ROUND(O337,0),S337))</f>
        <v>0</v>
      </c>
      <c r="S337" s="11">
        <f t="shared" si="75"/>
        <v>0.0002337817386286467</v>
      </c>
      <c r="U337" s="2">
        <f t="shared" si="70"/>
        <v>102</v>
      </c>
      <c r="V337" s="2">
        <f t="shared" si="71"/>
        <v>1224</v>
      </c>
      <c r="W337" s="2">
        <f t="shared" si="72"/>
        <v>68</v>
      </c>
    </row>
    <row r="338" spans="1:23" ht="12.75">
      <c r="A338">
        <v>1</v>
      </c>
      <c r="B338">
        <v>334</v>
      </c>
      <c r="C338" s="2">
        <f t="shared" si="76"/>
        <v>100.61538461538461</v>
      </c>
      <c r="D338" s="2">
        <f t="shared" si="77"/>
        <v>1.3846153846153846</v>
      </c>
      <c r="E338" s="2">
        <f t="shared" si="78"/>
        <v>10.061538461538461</v>
      </c>
      <c r="F338" s="2">
        <f t="shared" si="79"/>
        <v>0.13846153846153847</v>
      </c>
      <c r="G338" s="9">
        <f>_XLL.RISKOUTPUT(,"Contaminated food products during a shift",335)+D338/(C338+D338)</f>
        <v>0.013574660633484163</v>
      </c>
      <c r="H338" s="2">
        <f>IF(C338&lt;1,0,_XLL.RISKBINOMIAL(ROUND(C338,0),I338))</f>
        <v>0</v>
      </c>
      <c r="I338" s="8">
        <f t="shared" si="80"/>
        <v>5.569062148913506E-05</v>
      </c>
      <c r="J338" s="2">
        <f t="shared" si="73"/>
        <v>1220.7418090519864</v>
      </c>
      <c r="K338" s="2">
        <f t="shared" si="74"/>
        <v>3.2581909480136027</v>
      </c>
      <c r="L338" s="10">
        <f>_XLL.RISKOUTPUT(,"Contaminated food contact surfaces during a shift",335)+K338/(J338+K338)</f>
        <v>0.00266192070916144</v>
      </c>
      <c r="M338" s="2">
        <f>IF(J338&lt;1,0,_XLL.RISKBINOMIAL(ROUND(J338,0),N338))</f>
        <v>0</v>
      </c>
      <c r="N338" s="11">
        <f t="shared" si="81"/>
        <v>1.3308466217609727E-05</v>
      </c>
      <c r="O338" s="2">
        <f t="shared" si="82"/>
        <v>68</v>
      </c>
      <c r="P338" s="2">
        <f t="shared" si="83"/>
        <v>0</v>
      </c>
      <c r="Q338" s="10">
        <f>_XLL.RISKOUTPUT(,"Contaminated gloves during a shift",335)+P338/(O338+P338)</f>
        <v>0</v>
      </c>
      <c r="R338" s="2">
        <f>IF(O338&lt;1,0,_XLL.RISKBINOMIAL(ROUND(O338,0),S338))</f>
        <v>0</v>
      </c>
      <c r="S338" s="11">
        <f t="shared" si="75"/>
        <v>0.0002337817386286467</v>
      </c>
      <c r="U338" s="2">
        <f t="shared" si="70"/>
        <v>102</v>
      </c>
      <c r="V338" s="2">
        <f t="shared" si="71"/>
        <v>1224</v>
      </c>
      <c r="W338" s="2">
        <f t="shared" si="72"/>
        <v>68</v>
      </c>
    </row>
    <row r="339" spans="1:23" ht="12.75">
      <c r="A339">
        <v>1</v>
      </c>
      <c r="B339">
        <v>335</v>
      </c>
      <c r="C339" s="2">
        <f t="shared" si="76"/>
        <v>100.61538461538461</v>
      </c>
      <c r="D339" s="2">
        <f t="shared" si="77"/>
        <v>1.3846153846153846</v>
      </c>
      <c r="E339" s="2">
        <f t="shared" si="78"/>
        <v>10.061538461538461</v>
      </c>
      <c r="F339" s="2">
        <f t="shared" si="79"/>
        <v>0.13846153846153847</v>
      </c>
      <c r="G339" s="9">
        <f>_XLL.RISKOUTPUT(,"Contaminated food products during a shift",336)+D339/(C339+D339)</f>
        <v>0.013574660633484163</v>
      </c>
      <c r="H339" s="2">
        <f>IF(C339&lt;1,0,_XLL.RISKBINOMIAL(ROUND(C339,0),I339))</f>
        <v>0</v>
      </c>
      <c r="I339" s="8">
        <f t="shared" si="80"/>
        <v>5.569062148913506E-05</v>
      </c>
      <c r="J339" s="2">
        <f t="shared" si="73"/>
        <v>1220.7418090519864</v>
      </c>
      <c r="K339" s="2">
        <f t="shared" si="74"/>
        <v>3.2581909480136027</v>
      </c>
      <c r="L339" s="10">
        <f>_XLL.RISKOUTPUT(,"Contaminated food contact surfaces during a shift",336)+K339/(J339+K339)</f>
        <v>0.00266192070916144</v>
      </c>
      <c r="M339" s="2">
        <f>IF(J339&lt;1,0,_XLL.RISKBINOMIAL(ROUND(J339,0),N339))</f>
        <v>0</v>
      </c>
      <c r="N339" s="11">
        <f t="shared" si="81"/>
        <v>1.3308466217609727E-05</v>
      </c>
      <c r="O339" s="2">
        <f t="shared" si="82"/>
        <v>68</v>
      </c>
      <c r="P339" s="2">
        <f t="shared" si="83"/>
        <v>0</v>
      </c>
      <c r="Q339" s="10">
        <f>_XLL.RISKOUTPUT(,"Contaminated gloves during a shift",336)+P339/(O339+P339)</f>
        <v>0</v>
      </c>
      <c r="R339" s="2">
        <f>IF(O339&lt;1,0,_XLL.RISKBINOMIAL(ROUND(O339,0),S339))</f>
        <v>0</v>
      </c>
      <c r="S339" s="11">
        <f t="shared" si="75"/>
        <v>0.0002337817386286467</v>
      </c>
      <c r="U339" s="2">
        <f t="shared" si="70"/>
        <v>102</v>
      </c>
      <c r="V339" s="2">
        <f t="shared" si="71"/>
        <v>1224</v>
      </c>
      <c r="W339" s="2">
        <f t="shared" si="72"/>
        <v>68</v>
      </c>
    </row>
    <row r="340" spans="1:23" ht="12.75">
      <c r="A340">
        <v>1</v>
      </c>
      <c r="B340">
        <v>336</v>
      </c>
      <c r="C340" s="2">
        <f t="shared" si="76"/>
        <v>100.61538461538461</v>
      </c>
      <c r="D340" s="2">
        <f t="shared" si="77"/>
        <v>1.3846153846153846</v>
      </c>
      <c r="E340" s="2">
        <f t="shared" si="78"/>
        <v>10.061538461538461</v>
      </c>
      <c r="F340" s="2">
        <f t="shared" si="79"/>
        <v>0.13846153846153847</v>
      </c>
      <c r="G340" s="9">
        <f>_XLL.RISKOUTPUT(,"Contaminated food products during a shift",337)+D340/(C340+D340)</f>
        <v>0.013574660633484163</v>
      </c>
      <c r="H340" s="2">
        <f>IF(C340&lt;1,0,_XLL.RISKBINOMIAL(ROUND(C340,0),I340))</f>
        <v>0</v>
      </c>
      <c r="I340" s="8">
        <f t="shared" si="80"/>
        <v>5.569062148913506E-05</v>
      </c>
      <c r="J340" s="2">
        <f t="shared" si="73"/>
        <v>1220.7418090519864</v>
      </c>
      <c r="K340" s="2">
        <f t="shared" si="74"/>
        <v>3.2581909480136027</v>
      </c>
      <c r="L340" s="10">
        <f>_XLL.RISKOUTPUT(,"Contaminated food contact surfaces during a shift",337)+K340/(J340+K340)</f>
        <v>0.00266192070916144</v>
      </c>
      <c r="M340" s="2">
        <f>IF(J340&lt;1,0,_XLL.RISKBINOMIAL(ROUND(J340,0),N340))</f>
        <v>0</v>
      </c>
      <c r="N340" s="11">
        <f t="shared" si="81"/>
        <v>1.3308466217609727E-05</v>
      </c>
      <c r="O340" s="2">
        <f t="shared" si="82"/>
        <v>68</v>
      </c>
      <c r="P340" s="2">
        <f t="shared" si="83"/>
        <v>0</v>
      </c>
      <c r="Q340" s="10">
        <f>_XLL.RISKOUTPUT(,"Contaminated gloves during a shift",337)+P340/(O340+P340)</f>
        <v>0</v>
      </c>
      <c r="R340" s="2">
        <f>IF(O340&lt;1,0,_XLL.RISKBINOMIAL(ROUND(O340,0),S340))</f>
        <v>0</v>
      </c>
      <c r="S340" s="11">
        <f t="shared" si="75"/>
        <v>0.0002337817386286467</v>
      </c>
      <c r="U340" s="2">
        <f t="shared" si="70"/>
        <v>102</v>
      </c>
      <c r="V340" s="2">
        <f t="shared" si="71"/>
        <v>1224</v>
      </c>
      <c r="W340" s="2">
        <f t="shared" si="72"/>
        <v>68</v>
      </c>
    </row>
    <row r="341" spans="1:23" ht="12.75">
      <c r="A341">
        <v>1</v>
      </c>
      <c r="B341">
        <v>337</v>
      </c>
      <c r="C341" s="2">
        <f t="shared" si="76"/>
        <v>100.61538461538461</v>
      </c>
      <c r="D341" s="2">
        <f t="shared" si="77"/>
        <v>1.3846153846153846</v>
      </c>
      <c r="E341" s="2">
        <f t="shared" si="78"/>
        <v>10.061538461538461</v>
      </c>
      <c r="F341" s="2">
        <f t="shared" si="79"/>
        <v>0.13846153846153847</v>
      </c>
      <c r="G341" s="9">
        <f>_XLL.RISKOUTPUT(,"Contaminated food products during a shift",338)+D341/(C341+D341)</f>
        <v>0.013574660633484163</v>
      </c>
      <c r="H341" s="2">
        <f>IF(C341&lt;1,0,_XLL.RISKBINOMIAL(ROUND(C341,0),I341))</f>
        <v>0</v>
      </c>
      <c r="I341" s="8">
        <f t="shared" si="80"/>
        <v>5.569062148913506E-05</v>
      </c>
      <c r="J341" s="2">
        <f t="shared" si="73"/>
        <v>1220.7418090519864</v>
      </c>
      <c r="K341" s="2">
        <f t="shared" si="74"/>
        <v>3.2581909480136027</v>
      </c>
      <c r="L341" s="10">
        <f>_XLL.RISKOUTPUT(,"Contaminated food contact surfaces during a shift",338)+K341/(J341+K341)</f>
        <v>0.00266192070916144</v>
      </c>
      <c r="M341" s="2">
        <f>IF(J341&lt;1,0,_XLL.RISKBINOMIAL(ROUND(J341,0),N341))</f>
        <v>0</v>
      </c>
      <c r="N341" s="11">
        <f t="shared" si="81"/>
        <v>1.3308466217609727E-05</v>
      </c>
      <c r="O341" s="2">
        <f t="shared" si="82"/>
        <v>68</v>
      </c>
      <c r="P341" s="2">
        <f t="shared" si="83"/>
        <v>0</v>
      </c>
      <c r="Q341" s="10">
        <f>_XLL.RISKOUTPUT(,"Contaminated gloves during a shift",338)+P341/(O341+P341)</f>
        <v>0</v>
      </c>
      <c r="R341" s="2">
        <f>IF(O341&lt;1,0,_XLL.RISKBINOMIAL(ROUND(O341,0),S341))</f>
        <v>0</v>
      </c>
      <c r="S341" s="11">
        <f t="shared" si="75"/>
        <v>0.0002337817386286467</v>
      </c>
      <c r="U341" s="2">
        <f t="shared" si="70"/>
        <v>102</v>
      </c>
      <c r="V341" s="2">
        <f t="shared" si="71"/>
        <v>1224</v>
      </c>
      <c r="W341" s="2">
        <f t="shared" si="72"/>
        <v>68</v>
      </c>
    </row>
    <row r="342" spans="1:23" ht="12.75">
      <c r="A342">
        <v>1</v>
      </c>
      <c r="B342">
        <v>338</v>
      </c>
      <c r="C342" s="2">
        <f t="shared" si="76"/>
        <v>100.61538461538461</v>
      </c>
      <c r="D342" s="2">
        <f t="shared" si="77"/>
        <v>1.3846153846153846</v>
      </c>
      <c r="E342" s="2">
        <f t="shared" si="78"/>
        <v>10.061538461538461</v>
      </c>
      <c r="F342" s="2">
        <f t="shared" si="79"/>
        <v>0.13846153846153847</v>
      </c>
      <c r="G342" s="9">
        <f>_XLL.RISKOUTPUT(,"Contaminated food products during a shift",339)+D342/(C342+D342)</f>
        <v>0.013574660633484163</v>
      </c>
      <c r="H342" s="2">
        <f>IF(C342&lt;1,0,_XLL.RISKBINOMIAL(ROUND(C342,0),I342))</f>
        <v>0</v>
      </c>
      <c r="I342" s="8">
        <f t="shared" si="80"/>
        <v>5.569062148913506E-05</v>
      </c>
      <c r="J342" s="2">
        <f t="shared" si="73"/>
        <v>1220.7418090519864</v>
      </c>
      <c r="K342" s="2">
        <f t="shared" si="74"/>
        <v>3.2581909480136027</v>
      </c>
      <c r="L342" s="10">
        <f>_XLL.RISKOUTPUT(,"Contaminated food contact surfaces during a shift",339)+K342/(J342+K342)</f>
        <v>0.00266192070916144</v>
      </c>
      <c r="M342" s="2">
        <f>IF(J342&lt;1,0,_XLL.RISKBINOMIAL(ROUND(J342,0),N342))</f>
        <v>0</v>
      </c>
      <c r="N342" s="11">
        <f t="shared" si="81"/>
        <v>1.3308466217609727E-05</v>
      </c>
      <c r="O342" s="2">
        <f t="shared" si="82"/>
        <v>68</v>
      </c>
      <c r="P342" s="2">
        <f t="shared" si="83"/>
        <v>0</v>
      </c>
      <c r="Q342" s="10">
        <f>_XLL.RISKOUTPUT(,"Contaminated gloves during a shift",339)+P342/(O342+P342)</f>
        <v>0</v>
      </c>
      <c r="R342" s="2">
        <f>IF(O342&lt;1,0,_XLL.RISKBINOMIAL(ROUND(O342,0),S342))</f>
        <v>0</v>
      </c>
      <c r="S342" s="11">
        <f t="shared" si="75"/>
        <v>0.0002337817386286467</v>
      </c>
      <c r="U342" s="2">
        <f t="shared" si="70"/>
        <v>102</v>
      </c>
      <c r="V342" s="2">
        <f t="shared" si="71"/>
        <v>1224</v>
      </c>
      <c r="W342" s="2">
        <f t="shared" si="72"/>
        <v>68</v>
      </c>
    </row>
    <row r="343" spans="1:23" ht="12.75">
      <c r="A343">
        <v>1</v>
      </c>
      <c r="B343">
        <v>339</v>
      </c>
      <c r="C343" s="2">
        <f t="shared" si="76"/>
        <v>100.61538461538461</v>
      </c>
      <c r="D343" s="2">
        <f t="shared" si="77"/>
        <v>1.3846153846153846</v>
      </c>
      <c r="E343" s="2">
        <f t="shared" si="78"/>
        <v>10.061538461538461</v>
      </c>
      <c r="F343" s="2">
        <f t="shared" si="79"/>
        <v>0.13846153846153847</v>
      </c>
      <c r="G343" s="9">
        <f>_XLL.RISKOUTPUT(,"Contaminated food products during a shift",340)+D343/(C343+D343)</f>
        <v>0.013574660633484163</v>
      </c>
      <c r="H343" s="2">
        <f>IF(C343&lt;1,0,_XLL.RISKBINOMIAL(ROUND(C343,0),I343))</f>
        <v>0</v>
      </c>
      <c r="I343" s="8">
        <f t="shared" si="80"/>
        <v>5.569062148913506E-05</v>
      </c>
      <c r="J343" s="2">
        <f t="shared" si="73"/>
        <v>1220.7418090519864</v>
      </c>
      <c r="K343" s="2">
        <f t="shared" si="74"/>
        <v>3.2581909480136027</v>
      </c>
      <c r="L343" s="10">
        <f>_XLL.RISKOUTPUT(,"Contaminated food contact surfaces during a shift",340)+K343/(J343+K343)</f>
        <v>0.00266192070916144</v>
      </c>
      <c r="M343" s="2">
        <f>IF(J343&lt;1,0,_XLL.RISKBINOMIAL(ROUND(J343,0),N343))</f>
        <v>0</v>
      </c>
      <c r="N343" s="11">
        <f t="shared" si="81"/>
        <v>1.3308466217609727E-05</v>
      </c>
      <c r="O343" s="2">
        <f t="shared" si="82"/>
        <v>68</v>
      </c>
      <c r="P343" s="2">
        <f t="shared" si="83"/>
        <v>0</v>
      </c>
      <c r="Q343" s="10">
        <f>_XLL.RISKOUTPUT(,"Contaminated gloves during a shift",340)+P343/(O343+P343)</f>
        <v>0</v>
      </c>
      <c r="R343" s="2">
        <f>IF(O343&lt;1,0,_XLL.RISKBINOMIAL(ROUND(O343,0),S343))</f>
        <v>0</v>
      </c>
      <c r="S343" s="11">
        <f t="shared" si="75"/>
        <v>0.0002337817386286467</v>
      </c>
      <c r="U343" s="2">
        <f t="shared" si="70"/>
        <v>102</v>
      </c>
      <c r="V343" s="2">
        <f t="shared" si="71"/>
        <v>1224</v>
      </c>
      <c r="W343" s="2">
        <f t="shared" si="72"/>
        <v>68</v>
      </c>
    </row>
    <row r="344" spans="1:23" ht="12.75">
      <c r="A344">
        <v>1</v>
      </c>
      <c r="B344">
        <v>340</v>
      </c>
      <c r="C344" s="2">
        <f t="shared" si="76"/>
        <v>100.61538461538461</v>
      </c>
      <c r="D344" s="2">
        <f t="shared" si="77"/>
        <v>1.3846153846153846</v>
      </c>
      <c r="E344" s="2">
        <f t="shared" si="78"/>
        <v>10.061538461538461</v>
      </c>
      <c r="F344" s="2">
        <f t="shared" si="79"/>
        <v>0.13846153846153847</v>
      </c>
      <c r="G344" s="9">
        <f>_XLL.RISKOUTPUT(,"Contaminated food products during a shift",341)+D344/(C344+D344)</f>
        <v>0.013574660633484163</v>
      </c>
      <c r="H344" s="2">
        <f>IF(C344&lt;1,0,_XLL.RISKBINOMIAL(ROUND(C344,0),I344))</f>
        <v>0</v>
      </c>
      <c r="I344" s="8">
        <f t="shared" si="80"/>
        <v>5.569062148913506E-05</v>
      </c>
      <c r="J344" s="2">
        <f t="shared" si="73"/>
        <v>1220.7418090519864</v>
      </c>
      <c r="K344" s="2">
        <f t="shared" si="74"/>
        <v>3.2581909480136027</v>
      </c>
      <c r="L344" s="10">
        <f>_XLL.RISKOUTPUT(,"Contaminated food contact surfaces during a shift",341)+K344/(J344+K344)</f>
        <v>0.00266192070916144</v>
      </c>
      <c r="M344" s="2">
        <f>IF(J344&lt;1,0,_XLL.RISKBINOMIAL(ROUND(J344,0),N344))</f>
        <v>0</v>
      </c>
      <c r="N344" s="11">
        <f t="shared" si="81"/>
        <v>1.3308466217609727E-05</v>
      </c>
      <c r="O344" s="2">
        <f t="shared" si="82"/>
        <v>68</v>
      </c>
      <c r="P344" s="2">
        <f t="shared" si="83"/>
        <v>0</v>
      </c>
      <c r="Q344" s="10">
        <f>_XLL.RISKOUTPUT(,"Contaminated gloves during a shift",341)+P344/(O344+P344)</f>
        <v>0</v>
      </c>
      <c r="R344" s="2">
        <f>IF(O344&lt;1,0,_XLL.RISKBINOMIAL(ROUND(O344,0),S344))</f>
        <v>0</v>
      </c>
      <c r="S344" s="11">
        <f t="shared" si="75"/>
        <v>0.0002337817386286467</v>
      </c>
      <c r="U344" s="2">
        <f t="shared" si="70"/>
        <v>102</v>
      </c>
      <c r="V344" s="2">
        <f t="shared" si="71"/>
        <v>1224</v>
      </c>
      <c r="W344" s="2">
        <f t="shared" si="72"/>
        <v>68</v>
      </c>
    </row>
    <row r="345" spans="1:23" ht="12.75">
      <c r="A345">
        <v>1</v>
      </c>
      <c r="B345">
        <v>341</v>
      </c>
      <c r="C345" s="2">
        <f t="shared" si="76"/>
        <v>100.61538461538461</v>
      </c>
      <c r="D345" s="2">
        <f t="shared" si="77"/>
        <v>1.3846153846153846</v>
      </c>
      <c r="E345" s="2">
        <f t="shared" si="78"/>
        <v>10.061538461538461</v>
      </c>
      <c r="F345" s="2">
        <f t="shared" si="79"/>
        <v>0.13846153846153847</v>
      </c>
      <c r="G345" s="9">
        <f>_XLL.RISKOUTPUT(,"Contaminated food products during a shift",342)+D345/(C345+D345)</f>
        <v>0.013574660633484163</v>
      </c>
      <c r="H345" s="2">
        <f>IF(C345&lt;1,0,_XLL.RISKBINOMIAL(ROUND(C345,0),I345))</f>
        <v>0</v>
      </c>
      <c r="I345" s="8">
        <f t="shared" si="80"/>
        <v>5.569062148913506E-05</v>
      </c>
      <c r="J345" s="2">
        <f t="shared" si="73"/>
        <v>1220.7418090519864</v>
      </c>
      <c r="K345" s="2">
        <f t="shared" si="74"/>
        <v>3.2581909480136027</v>
      </c>
      <c r="L345" s="10">
        <f>_XLL.RISKOUTPUT(,"Contaminated food contact surfaces during a shift",342)+K345/(J345+K345)</f>
        <v>0.00266192070916144</v>
      </c>
      <c r="M345" s="2">
        <f>IF(J345&lt;1,0,_XLL.RISKBINOMIAL(ROUND(J345,0),N345))</f>
        <v>0</v>
      </c>
      <c r="N345" s="11">
        <f t="shared" si="81"/>
        <v>1.3308466217609727E-05</v>
      </c>
      <c r="O345" s="2">
        <f t="shared" si="82"/>
        <v>68</v>
      </c>
      <c r="P345" s="2">
        <f t="shared" si="83"/>
        <v>0</v>
      </c>
      <c r="Q345" s="10">
        <f>_XLL.RISKOUTPUT(,"Contaminated gloves during a shift",342)+P345/(O345+P345)</f>
        <v>0</v>
      </c>
      <c r="R345" s="2">
        <f>IF(O345&lt;1,0,_XLL.RISKBINOMIAL(ROUND(O345,0),S345))</f>
        <v>0</v>
      </c>
      <c r="S345" s="11">
        <f t="shared" si="75"/>
        <v>0.0002337817386286467</v>
      </c>
      <c r="U345" s="2">
        <f t="shared" si="70"/>
        <v>102</v>
      </c>
      <c r="V345" s="2">
        <f t="shared" si="71"/>
        <v>1224</v>
      </c>
      <c r="W345" s="2">
        <f t="shared" si="72"/>
        <v>68</v>
      </c>
    </row>
    <row r="346" spans="1:23" ht="12.75">
      <c r="A346">
        <v>1</v>
      </c>
      <c r="B346">
        <v>342</v>
      </c>
      <c r="C346" s="2">
        <f t="shared" si="76"/>
        <v>100.61538461538461</v>
      </c>
      <c r="D346" s="2">
        <f t="shared" si="77"/>
        <v>1.3846153846153846</v>
      </c>
      <c r="E346" s="2">
        <f t="shared" si="78"/>
        <v>10.061538461538461</v>
      </c>
      <c r="F346" s="2">
        <f t="shared" si="79"/>
        <v>0.13846153846153847</v>
      </c>
      <c r="G346" s="9">
        <f>_XLL.RISKOUTPUT(,"Contaminated food products during a shift",343)+D346/(C346+D346)</f>
        <v>0.013574660633484163</v>
      </c>
      <c r="H346" s="2">
        <f>IF(C346&lt;1,0,_XLL.RISKBINOMIAL(ROUND(C346,0),I346))</f>
        <v>0</v>
      </c>
      <c r="I346" s="8">
        <f t="shared" si="80"/>
        <v>5.569062148913506E-05</v>
      </c>
      <c r="J346" s="2">
        <f t="shared" si="73"/>
        <v>1220.7418090519864</v>
      </c>
      <c r="K346" s="2">
        <f t="shared" si="74"/>
        <v>3.2581909480136027</v>
      </c>
      <c r="L346" s="10">
        <f>_XLL.RISKOUTPUT(,"Contaminated food contact surfaces during a shift",343)+K346/(J346+K346)</f>
        <v>0.00266192070916144</v>
      </c>
      <c r="M346" s="2">
        <f>IF(J346&lt;1,0,_XLL.RISKBINOMIAL(ROUND(J346,0),N346))</f>
        <v>0</v>
      </c>
      <c r="N346" s="11">
        <f t="shared" si="81"/>
        <v>1.3308466217609727E-05</v>
      </c>
      <c r="O346" s="2">
        <f t="shared" si="82"/>
        <v>68</v>
      </c>
      <c r="P346" s="2">
        <f t="shared" si="83"/>
        <v>0</v>
      </c>
      <c r="Q346" s="10">
        <f>_XLL.RISKOUTPUT(,"Contaminated gloves during a shift",343)+P346/(O346+P346)</f>
        <v>0</v>
      </c>
      <c r="R346" s="2">
        <f>IF(O346&lt;1,0,_XLL.RISKBINOMIAL(ROUND(O346,0),S346))</f>
        <v>0</v>
      </c>
      <c r="S346" s="11">
        <f t="shared" si="75"/>
        <v>0.0002337817386286467</v>
      </c>
      <c r="U346" s="2">
        <f t="shared" si="70"/>
        <v>102</v>
      </c>
      <c r="V346" s="2">
        <f t="shared" si="71"/>
        <v>1224</v>
      </c>
      <c r="W346" s="2">
        <f t="shared" si="72"/>
        <v>68</v>
      </c>
    </row>
    <row r="347" spans="1:23" ht="12.75">
      <c r="A347">
        <v>1</v>
      </c>
      <c r="B347">
        <v>343</v>
      </c>
      <c r="C347" s="2">
        <f t="shared" si="76"/>
        <v>100.61538461538461</v>
      </c>
      <c r="D347" s="2">
        <f t="shared" si="77"/>
        <v>1.3846153846153846</v>
      </c>
      <c r="E347" s="2">
        <f t="shared" si="78"/>
        <v>10.061538461538461</v>
      </c>
      <c r="F347" s="2">
        <f t="shared" si="79"/>
        <v>0.13846153846153847</v>
      </c>
      <c r="G347" s="9">
        <f>_XLL.RISKOUTPUT(,"Contaminated food products during a shift",344)+D347/(C347+D347)</f>
        <v>0.013574660633484163</v>
      </c>
      <c r="H347" s="2">
        <f>IF(C347&lt;1,0,_XLL.RISKBINOMIAL(ROUND(C347,0),I347))</f>
        <v>0</v>
      </c>
      <c r="I347" s="8">
        <f t="shared" si="80"/>
        <v>5.569062148913506E-05</v>
      </c>
      <c r="J347" s="2">
        <f t="shared" si="73"/>
        <v>1220.7418090519864</v>
      </c>
      <c r="K347" s="2">
        <f t="shared" si="74"/>
        <v>3.2581909480136027</v>
      </c>
      <c r="L347" s="10">
        <f>_XLL.RISKOUTPUT(,"Contaminated food contact surfaces during a shift",344)+K347/(J347+K347)</f>
        <v>0.00266192070916144</v>
      </c>
      <c r="M347" s="2">
        <f>IF(J347&lt;1,0,_XLL.RISKBINOMIAL(ROUND(J347,0),N347))</f>
        <v>0</v>
      </c>
      <c r="N347" s="11">
        <f t="shared" si="81"/>
        <v>1.3308466217609727E-05</v>
      </c>
      <c r="O347" s="2">
        <f t="shared" si="82"/>
        <v>68</v>
      </c>
      <c r="P347" s="2">
        <f t="shared" si="83"/>
        <v>0</v>
      </c>
      <c r="Q347" s="10">
        <f>_XLL.RISKOUTPUT(,"Contaminated gloves during a shift",344)+P347/(O347+P347)</f>
        <v>0</v>
      </c>
      <c r="R347" s="2">
        <f>IF(O347&lt;1,0,_XLL.RISKBINOMIAL(ROUND(O347,0),S347))</f>
        <v>0</v>
      </c>
      <c r="S347" s="11">
        <f t="shared" si="75"/>
        <v>0.0002337817386286467</v>
      </c>
      <c r="U347" s="2">
        <f t="shared" si="70"/>
        <v>102</v>
      </c>
      <c r="V347" s="2">
        <f t="shared" si="71"/>
        <v>1224</v>
      </c>
      <c r="W347" s="2">
        <f t="shared" si="72"/>
        <v>68</v>
      </c>
    </row>
    <row r="348" spans="1:23" ht="12.75">
      <c r="A348">
        <v>1</v>
      </c>
      <c r="B348">
        <v>344</v>
      </c>
      <c r="C348" s="2">
        <f t="shared" si="76"/>
        <v>100.61538461538461</v>
      </c>
      <c r="D348" s="2">
        <f t="shared" si="77"/>
        <v>1.3846153846153846</v>
      </c>
      <c r="E348" s="2">
        <f t="shared" si="78"/>
        <v>10.061538461538461</v>
      </c>
      <c r="F348" s="2">
        <f t="shared" si="79"/>
        <v>0.13846153846153847</v>
      </c>
      <c r="G348" s="9">
        <f>_XLL.RISKOUTPUT(,"Contaminated food products during a shift",345)+D348/(C348+D348)</f>
        <v>0.013574660633484163</v>
      </c>
      <c r="H348" s="2">
        <f>IF(C348&lt;1,0,_XLL.RISKBINOMIAL(ROUND(C348,0),I348))</f>
        <v>0</v>
      </c>
      <c r="I348" s="8">
        <f t="shared" si="80"/>
        <v>5.569062148913506E-05</v>
      </c>
      <c r="J348" s="2">
        <f t="shared" si="73"/>
        <v>1220.7418090519864</v>
      </c>
      <c r="K348" s="2">
        <f t="shared" si="74"/>
        <v>3.2581909480136027</v>
      </c>
      <c r="L348" s="10">
        <f>_XLL.RISKOUTPUT(,"Contaminated food contact surfaces during a shift",345)+K348/(J348+K348)</f>
        <v>0.00266192070916144</v>
      </c>
      <c r="M348" s="2">
        <f>IF(J348&lt;1,0,_XLL.RISKBINOMIAL(ROUND(J348,0),N348))</f>
        <v>0</v>
      </c>
      <c r="N348" s="11">
        <f t="shared" si="81"/>
        <v>1.3308466217609727E-05</v>
      </c>
      <c r="O348" s="2">
        <f t="shared" si="82"/>
        <v>68</v>
      </c>
      <c r="P348" s="2">
        <f t="shared" si="83"/>
        <v>0</v>
      </c>
      <c r="Q348" s="10">
        <f>_XLL.RISKOUTPUT(,"Contaminated gloves during a shift",345)+P348/(O348+P348)</f>
        <v>0</v>
      </c>
      <c r="R348" s="2">
        <f>IF(O348&lt;1,0,_XLL.RISKBINOMIAL(ROUND(O348,0),S348))</f>
        <v>0</v>
      </c>
      <c r="S348" s="11">
        <f t="shared" si="75"/>
        <v>0.0002337817386286467</v>
      </c>
      <c r="U348" s="2">
        <f t="shared" si="70"/>
        <v>102</v>
      </c>
      <c r="V348" s="2">
        <f t="shared" si="71"/>
        <v>1224</v>
      </c>
      <c r="W348" s="2">
        <f t="shared" si="72"/>
        <v>68</v>
      </c>
    </row>
    <row r="349" spans="1:23" ht="12.75">
      <c r="A349">
        <v>1</v>
      </c>
      <c r="B349">
        <v>345</v>
      </c>
      <c r="C349" s="2">
        <f t="shared" si="76"/>
        <v>100.61538461538461</v>
      </c>
      <c r="D349" s="2">
        <f t="shared" si="77"/>
        <v>1.3846153846153846</v>
      </c>
      <c r="E349" s="2">
        <f t="shared" si="78"/>
        <v>10.061538461538461</v>
      </c>
      <c r="F349" s="2">
        <f t="shared" si="79"/>
        <v>0.13846153846153847</v>
      </c>
      <c r="G349" s="9">
        <f>_XLL.RISKOUTPUT(,"Contaminated food products during a shift",346)+D349/(C349+D349)</f>
        <v>0.013574660633484163</v>
      </c>
      <c r="H349" s="2">
        <f>IF(C349&lt;1,0,_XLL.RISKBINOMIAL(ROUND(C349,0),I349))</f>
        <v>0</v>
      </c>
      <c r="I349" s="8">
        <f t="shared" si="80"/>
        <v>5.569062148913506E-05</v>
      </c>
      <c r="J349" s="2">
        <f t="shared" si="73"/>
        <v>1220.7418090519864</v>
      </c>
      <c r="K349" s="2">
        <f t="shared" si="74"/>
        <v>3.2581909480136027</v>
      </c>
      <c r="L349" s="10">
        <f>_XLL.RISKOUTPUT(,"Contaminated food contact surfaces during a shift",346)+K349/(J349+K349)</f>
        <v>0.00266192070916144</v>
      </c>
      <c r="M349" s="2">
        <f>IF(J349&lt;1,0,_XLL.RISKBINOMIAL(ROUND(J349,0),N349))</f>
        <v>0</v>
      </c>
      <c r="N349" s="11">
        <f t="shared" si="81"/>
        <v>1.3308466217609727E-05</v>
      </c>
      <c r="O349" s="2">
        <f t="shared" si="82"/>
        <v>68</v>
      </c>
      <c r="P349" s="2">
        <f t="shared" si="83"/>
        <v>0</v>
      </c>
      <c r="Q349" s="10">
        <f>_XLL.RISKOUTPUT(,"Contaminated gloves during a shift",346)+P349/(O349+P349)</f>
        <v>0</v>
      </c>
      <c r="R349" s="2">
        <f>IF(O349&lt;1,0,_XLL.RISKBINOMIAL(ROUND(O349,0),S349))</f>
        <v>0</v>
      </c>
      <c r="S349" s="11">
        <f t="shared" si="75"/>
        <v>0.0002337817386286467</v>
      </c>
      <c r="U349" s="2">
        <f t="shared" si="70"/>
        <v>102</v>
      </c>
      <c r="V349" s="2">
        <f t="shared" si="71"/>
        <v>1224</v>
      </c>
      <c r="W349" s="2">
        <f t="shared" si="72"/>
        <v>68</v>
      </c>
    </row>
    <row r="350" spans="1:23" ht="12.75">
      <c r="A350">
        <v>1</v>
      </c>
      <c r="B350">
        <v>346</v>
      </c>
      <c r="C350" s="2">
        <f t="shared" si="76"/>
        <v>100.61538461538461</v>
      </c>
      <c r="D350" s="2">
        <f t="shared" si="77"/>
        <v>1.3846153846153846</v>
      </c>
      <c r="E350" s="2">
        <f t="shared" si="78"/>
        <v>10.061538461538461</v>
      </c>
      <c r="F350" s="2">
        <f t="shared" si="79"/>
        <v>0.13846153846153847</v>
      </c>
      <c r="G350" s="9">
        <f>_XLL.RISKOUTPUT(,"Contaminated food products during a shift",347)+D350/(C350+D350)</f>
        <v>0.013574660633484163</v>
      </c>
      <c r="H350" s="2">
        <f>IF(C350&lt;1,0,_XLL.RISKBINOMIAL(ROUND(C350,0),I350))</f>
        <v>0</v>
      </c>
      <c r="I350" s="8">
        <f t="shared" si="80"/>
        <v>5.569062148913506E-05</v>
      </c>
      <c r="J350" s="2">
        <f t="shared" si="73"/>
        <v>1220.7418090519864</v>
      </c>
      <c r="K350" s="2">
        <f t="shared" si="74"/>
        <v>3.2581909480136027</v>
      </c>
      <c r="L350" s="10">
        <f>_XLL.RISKOUTPUT(,"Contaminated food contact surfaces during a shift",347)+K350/(J350+K350)</f>
        <v>0.00266192070916144</v>
      </c>
      <c r="M350" s="2">
        <f>IF(J350&lt;1,0,_XLL.RISKBINOMIAL(ROUND(J350,0),N350))</f>
        <v>0</v>
      </c>
      <c r="N350" s="11">
        <f t="shared" si="81"/>
        <v>1.3308466217609727E-05</v>
      </c>
      <c r="O350" s="2">
        <f t="shared" si="82"/>
        <v>68</v>
      </c>
      <c r="P350" s="2">
        <f t="shared" si="83"/>
        <v>0</v>
      </c>
      <c r="Q350" s="10">
        <f>_XLL.RISKOUTPUT(,"Contaminated gloves during a shift",347)+P350/(O350+P350)</f>
        <v>0</v>
      </c>
      <c r="R350" s="2">
        <f>IF(O350&lt;1,0,_XLL.RISKBINOMIAL(ROUND(O350,0),S350))</f>
        <v>0</v>
      </c>
      <c r="S350" s="11">
        <f t="shared" si="75"/>
        <v>0.0002337817386286467</v>
      </c>
      <c r="U350" s="2">
        <f t="shared" si="70"/>
        <v>102</v>
      </c>
      <c r="V350" s="2">
        <f t="shared" si="71"/>
        <v>1224</v>
      </c>
      <c r="W350" s="2">
        <f t="shared" si="72"/>
        <v>68</v>
      </c>
    </row>
    <row r="351" spans="1:23" ht="12.75">
      <c r="A351">
        <v>1</v>
      </c>
      <c r="B351">
        <v>347</v>
      </c>
      <c r="C351" s="2">
        <f t="shared" si="76"/>
        <v>100.61538461538461</v>
      </c>
      <c r="D351" s="2">
        <f t="shared" si="77"/>
        <v>1.3846153846153846</v>
      </c>
      <c r="E351" s="2">
        <f t="shared" si="78"/>
        <v>10.061538461538461</v>
      </c>
      <c r="F351" s="2">
        <f t="shared" si="79"/>
        <v>0.13846153846153847</v>
      </c>
      <c r="G351" s="9">
        <f>_XLL.RISKOUTPUT(,"Contaminated food products during a shift",348)+D351/(C351+D351)</f>
        <v>0.013574660633484163</v>
      </c>
      <c r="H351" s="2">
        <f>IF(C351&lt;1,0,_XLL.RISKBINOMIAL(ROUND(C351,0),I351))</f>
        <v>0</v>
      </c>
      <c r="I351" s="8">
        <f t="shared" si="80"/>
        <v>5.569062148913506E-05</v>
      </c>
      <c r="J351" s="2">
        <f t="shared" si="73"/>
        <v>1220.7418090519864</v>
      </c>
      <c r="K351" s="2">
        <f t="shared" si="74"/>
        <v>3.2581909480136027</v>
      </c>
      <c r="L351" s="10">
        <f>_XLL.RISKOUTPUT(,"Contaminated food contact surfaces during a shift",348)+K351/(J351+K351)</f>
        <v>0.00266192070916144</v>
      </c>
      <c r="M351" s="2">
        <f>IF(J351&lt;1,0,_XLL.RISKBINOMIAL(ROUND(J351,0),N351))</f>
        <v>0</v>
      </c>
      <c r="N351" s="11">
        <f t="shared" si="81"/>
        <v>1.3308466217609727E-05</v>
      </c>
      <c r="O351" s="2">
        <f t="shared" si="82"/>
        <v>68</v>
      </c>
      <c r="P351" s="2">
        <f t="shared" si="83"/>
        <v>0</v>
      </c>
      <c r="Q351" s="10">
        <f>_XLL.RISKOUTPUT(,"Contaminated gloves during a shift",348)+P351/(O351+P351)</f>
        <v>0</v>
      </c>
      <c r="R351" s="2">
        <f>IF(O351&lt;1,0,_XLL.RISKBINOMIAL(ROUND(O351,0),S351))</f>
        <v>0</v>
      </c>
      <c r="S351" s="11">
        <f t="shared" si="75"/>
        <v>0.0002337817386286467</v>
      </c>
      <c r="U351" s="2">
        <f t="shared" si="70"/>
        <v>102</v>
      </c>
      <c r="V351" s="2">
        <f t="shared" si="71"/>
        <v>1224</v>
      </c>
      <c r="W351" s="2">
        <f t="shared" si="72"/>
        <v>68</v>
      </c>
    </row>
    <row r="352" spans="1:23" ht="12.75">
      <c r="A352">
        <v>1</v>
      </c>
      <c r="B352">
        <v>348</v>
      </c>
      <c r="C352" s="2">
        <f t="shared" si="76"/>
        <v>100.61538461538461</v>
      </c>
      <c r="D352" s="2">
        <f t="shared" si="77"/>
        <v>1.3846153846153846</v>
      </c>
      <c r="E352" s="2">
        <f t="shared" si="78"/>
        <v>10.061538461538461</v>
      </c>
      <c r="F352" s="2">
        <f t="shared" si="79"/>
        <v>0.13846153846153847</v>
      </c>
      <c r="G352" s="9">
        <f>_XLL.RISKOUTPUT(,"Contaminated food products during a shift",349)+D352/(C352+D352)</f>
        <v>0.013574660633484163</v>
      </c>
      <c r="H352" s="2">
        <f>IF(C352&lt;1,0,_XLL.RISKBINOMIAL(ROUND(C352,0),I352))</f>
        <v>0</v>
      </c>
      <c r="I352" s="8">
        <f t="shared" si="80"/>
        <v>5.569062148913506E-05</v>
      </c>
      <c r="J352" s="2">
        <f t="shared" si="73"/>
        <v>1220.7418090519864</v>
      </c>
      <c r="K352" s="2">
        <f t="shared" si="74"/>
        <v>3.2581909480136027</v>
      </c>
      <c r="L352" s="10">
        <f>_XLL.RISKOUTPUT(,"Contaminated food contact surfaces during a shift",349)+K352/(J352+K352)</f>
        <v>0.00266192070916144</v>
      </c>
      <c r="M352" s="2">
        <f>IF(J352&lt;1,0,_XLL.RISKBINOMIAL(ROUND(J352,0),N352))</f>
        <v>0</v>
      </c>
      <c r="N352" s="11">
        <f t="shared" si="81"/>
        <v>1.3308466217609727E-05</v>
      </c>
      <c r="O352" s="2">
        <f t="shared" si="82"/>
        <v>68</v>
      </c>
      <c r="P352" s="2">
        <f t="shared" si="83"/>
        <v>0</v>
      </c>
      <c r="Q352" s="10">
        <f>_XLL.RISKOUTPUT(,"Contaminated gloves during a shift",349)+P352/(O352+P352)</f>
        <v>0</v>
      </c>
      <c r="R352" s="2">
        <f>IF(O352&lt;1,0,_XLL.RISKBINOMIAL(ROUND(O352,0),S352))</f>
        <v>0</v>
      </c>
      <c r="S352" s="11">
        <f t="shared" si="75"/>
        <v>0.0002337817386286467</v>
      </c>
      <c r="U352" s="2">
        <f t="shared" si="70"/>
        <v>102</v>
      </c>
      <c r="V352" s="2">
        <f t="shared" si="71"/>
        <v>1224</v>
      </c>
      <c r="W352" s="2">
        <f t="shared" si="72"/>
        <v>68</v>
      </c>
    </row>
    <row r="353" spans="1:23" ht="12.75">
      <c r="A353">
        <v>1</v>
      </c>
      <c r="B353">
        <v>349</v>
      </c>
      <c r="C353" s="2">
        <f t="shared" si="76"/>
        <v>100.61538461538461</v>
      </c>
      <c r="D353" s="2">
        <f t="shared" si="77"/>
        <v>1.3846153846153846</v>
      </c>
      <c r="E353" s="2">
        <f t="shared" si="78"/>
        <v>10.061538461538461</v>
      </c>
      <c r="F353" s="2">
        <f t="shared" si="79"/>
        <v>0.13846153846153847</v>
      </c>
      <c r="G353" s="9">
        <f>_XLL.RISKOUTPUT(,"Contaminated food products during a shift",350)+D353/(C353+D353)</f>
        <v>0.013574660633484163</v>
      </c>
      <c r="H353" s="2">
        <f>IF(C353&lt;1,0,_XLL.RISKBINOMIAL(ROUND(C353,0),I353))</f>
        <v>0</v>
      </c>
      <c r="I353" s="8">
        <f t="shared" si="80"/>
        <v>5.569062148913506E-05</v>
      </c>
      <c r="J353" s="2">
        <f t="shared" si="73"/>
        <v>1220.7418090519864</v>
      </c>
      <c r="K353" s="2">
        <f t="shared" si="74"/>
        <v>3.2581909480136027</v>
      </c>
      <c r="L353" s="10">
        <f>_XLL.RISKOUTPUT(,"Contaminated food contact surfaces during a shift",350)+K353/(J353+K353)</f>
        <v>0.00266192070916144</v>
      </c>
      <c r="M353" s="2">
        <f>IF(J353&lt;1,0,_XLL.RISKBINOMIAL(ROUND(J353,0),N353))</f>
        <v>0</v>
      </c>
      <c r="N353" s="11">
        <f t="shared" si="81"/>
        <v>1.3308466217609727E-05</v>
      </c>
      <c r="O353" s="2">
        <f t="shared" si="82"/>
        <v>68</v>
      </c>
      <c r="P353" s="2">
        <f t="shared" si="83"/>
        <v>0</v>
      </c>
      <c r="Q353" s="10">
        <f>_XLL.RISKOUTPUT(,"Contaminated gloves during a shift",350)+P353/(O353+P353)</f>
        <v>0</v>
      </c>
      <c r="R353" s="2">
        <f>IF(O353&lt;1,0,_XLL.RISKBINOMIAL(ROUND(O353,0),S353))</f>
        <v>0</v>
      </c>
      <c r="S353" s="11">
        <f t="shared" si="75"/>
        <v>0.0002337817386286467</v>
      </c>
      <c r="U353" s="2">
        <f t="shared" si="70"/>
        <v>102</v>
      </c>
      <c r="V353" s="2">
        <f t="shared" si="71"/>
        <v>1224</v>
      </c>
      <c r="W353" s="2">
        <f t="shared" si="72"/>
        <v>68</v>
      </c>
    </row>
    <row r="354" spans="1:23" ht="12.75">
      <c r="A354">
        <v>1</v>
      </c>
      <c r="B354">
        <v>350</v>
      </c>
      <c r="C354" s="2">
        <f t="shared" si="76"/>
        <v>100.61538461538461</v>
      </c>
      <c r="D354" s="2">
        <f t="shared" si="77"/>
        <v>1.3846153846153846</v>
      </c>
      <c r="E354" s="2">
        <f t="shared" si="78"/>
        <v>10.061538461538461</v>
      </c>
      <c r="F354" s="2">
        <f t="shared" si="79"/>
        <v>0.13846153846153847</v>
      </c>
      <c r="G354" s="9">
        <f>_XLL.RISKOUTPUT(,"Contaminated food products during a shift",351)+D354/(C354+D354)</f>
        <v>0.013574660633484163</v>
      </c>
      <c r="H354" s="2">
        <f>IF(C354&lt;1,0,_XLL.RISKBINOMIAL(ROUND(C354,0),I354))</f>
        <v>0</v>
      </c>
      <c r="I354" s="8">
        <f t="shared" si="80"/>
        <v>5.569062148913506E-05</v>
      </c>
      <c r="J354" s="2">
        <f t="shared" si="73"/>
        <v>1220.7418090519864</v>
      </c>
      <c r="K354" s="2">
        <f t="shared" si="74"/>
        <v>3.2581909480136027</v>
      </c>
      <c r="L354" s="10">
        <f>_XLL.RISKOUTPUT(,"Contaminated food contact surfaces during a shift",351)+K354/(J354+K354)</f>
        <v>0.00266192070916144</v>
      </c>
      <c r="M354" s="2">
        <f>IF(J354&lt;1,0,_XLL.RISKBINOMIAL(ROUND(J354,0),N354))</f>
        <v>0</v>
      </c>
      <c r="N354" s="11">
        <f t="shared" si="81"/>
        <v>1.3308466217609727E-05</v>
      </c>
      <c r="O354" s="2">
        <f t="shared" si="82"/>
        <v>68</v>
      </c>
      <c r="P354" s="2">
        <f t="shared" si="83"/>
        <v>0</v>
      </c>
      <c r="Q354" s="10">
        <f>_XLL.RISKOUTPUT(,"Contaminated gloves during a shift",351)+P354/(O354+P354)</f>
        <v>0</v>
      </c>
      <c r="R354" s="2">
        <f>IF(O354&lt;1,0,_XLL.RISKBINOMIAL(ROUND(O354,0),S354))</f>
        <v>0</v>
      </c>
      <c r="S354" s="11">
        <f t="shared" si="75"/>
        <v>0.0002337817386286467</v>
      </c>
      <c r="U354" s="2">
        <f t="shared" si="70"/>
        <v>102</v>
      </c>
      <c r="V354" s="2">
        <f t="shared" si="71"/>
        <v>1224</v>
      </c>
      <c r="W354" s="2">
        <f t="shared" si="72"/>
        <v>68</v>
      </c>
    </row>
    <row r="355" spans="1:23" ht="12.75">
      <c r="A355">
        <v>1</v>
      </c>
      <c r="B355">
        <v>351</v>
      </c>
      <c r="C355" s="2">
        <f t="shared" si="76"/>
        <v>100.61538461538461</v>
      </c>
      <c r="D355" s="2">
        <f t="shared" si="77"/>
        <v>1.3846153846153846</v>
      </c>
      <c r="E355" s="2">
        <f t="shared" si="78"/>
        <v>10.061538461538461</v>
      </c>
      <c r="F355" s="2">
        <f t="shared" si="79"/>
        <v>0.13846153846153847</v>
      </c>
      <c r="G355" s="9">
        <f>_XLL.RISKOUTPUT(,"Contaminated food products during a shift",352)+D355/(C355+D355)</f>
        <v>0.013574660633484163</v>
      </c>
      <c r="H355" s="2">
        <f>IF(C355&lt;1,0,_XLL.RISKBINOMIAL(ROUND(C355,0),I355))</f>
        <v>0</v>
      </c>
      <c r="I355" s="8">
        <f t="shared" si="80"/>
        <v>5.569062148913506E-05</v>
      </c>
      <c r="J355" s="2">
        <f t="shared" si="73"/>
        <v>1220.7418090519864</v>
      </c>
      <c r="K355" s="2">
        <f t="shared" si="74"/>
        <v>3.2581909480136027</v>
      </c>
      <c r="L355" s="10">
        <f>_XLL.RISKOUTPUT(,"Contaminated food contact surfaces during a shift",352)+K355/(J355+K355)</f>
        <v>0.00266192070916144</v>
      </c>
      <c r="M355" s="2">
        <f>IF(J355&lt;1,0,_XLL.RISKBINOMIAL(ROUND(J355,0),N355))</f>
        <v>0</v>
      </c>
      <c r="N355" s="11">
        <f t="shared" si="81"/>
        <v>1.3308466217609727E-05</v>
      </c>
      <c r="O355" s="2">
        <f t="shared" si="82"/>
        <v>68</v>
      </c>
      <c r="P355" s="2">
        <f t="shared" si="83"/>
        <v>0</v>
      </c>
      <c r="Q355" s="10">
        <f>_XLL.RISKOUTPUT(,"Contaminated gloves during a shift",352)+P355/(O355+P355)</f>
        <v>0</v>
      </c>
      <c r="R355" s="2">
        <f>IF(O355&lt;1,0,_XLL.RISKBINOMIAL(ROUND(O355,0),S355))</f>
        <v>0</v>
      </c>
      <c r="S355" s="11">
        <f t="shared" si="75"/>
        <v>0.0002337817386286467</v>
      </c>
      <c r="U355" s="2">
        <f t="shared" si="70"/>
        <v>102</v>
      </c>
      <c r="V355" s="2">
        <f t="shared" si="71"/>
        <v>1224</v>
      </c>
      <c r="W355" s="2">
        <f t="shared" si="72"/>
        <v>68</v>
      </c>
    </row>
    <row r="356" spans="1:23" ht="12.75">
      <c r="A356">
        <v>1</v>
      </c>
      <c r="B356">
        <v>352</v>
      </c>
      <c r="C356" s="2">
        <f t="shared" si="76"/>
        <v>100.61538461538461</v>
      </c>
      <c r="D356" s="2">
        <f t="shared" si="77"/>
        <v>1.3846153846153846</v>
      </c>
      <c r="E356" s="2">
        <f t="shared" si="78"/>
        <v>10.061538461538461</v>
      </c>
      <c r="F356" s="2">
        <f t="shared" si="79"/>
        <v>0.13846153846153847</v>
      </c>
      <c r="G356" s="9">
        <f>_XLL.RISKOUTPUT(,"Contaminated food products during a shift",353)+D356/(C356+D356)</f>
        <v>0.013574660633484163</v>
      </c>
      <c r="H356" s="2">
        <f>IF(C356&lt;1,0,_XLL.RISKBINOMIAL(ROUND(C356,0),I356))</f>
        <v>0</v>
      </c>
      <c r="I356" s="8">
        <f t="shared" si="80"/>
        <v>5.569062148913506E-05</v>
      </c>
      <c r="J356" s="2">
        <f t="shared" si="73"/>
        <v>1220.7418090519864</v>
      </c>
      <c r="K356" s="2">
        <f t="shared" si="74"/>
        <v>3.2581909480136027</v>
      </c>
      <c r="L356" s="10">
        <f>_XLL.RISKOUTPUT(,"Contaminated food contact surfaces during a shift",353)+K356/(J356+K356)</f>
        <v>0.00266192070916144</v>
      </c>
      <c r="M356" s="2">
        <f>IF(J356&lt;1,0,_XLL.RISKBINOMIAL(ROUND(J356,0),N356))</f>
        <v>0</v>
      </c>
      <c r="N356" s="11">
        <f t="shared" si="81"/>
        <v>1.3308466217609727E-05</v>
      </c>
      <c r="O356" s="2">
        <f t="shared" si="82"/>
        <v>68</v>
      </c>
      <c r="P356" s="2">
        <f t="shared" si="83"/>
        <v>0</v>
      </c>
      <c r="Q356" s="10">
        <f>_XLL.RISKOUTPUT(,"Contaminated gloves during a shift",353)+P356/(O356+P356)</f>
        <v>0</v>
      </c>
      <c r="R356" s="2">
        <f>IF(O356&lt;1,0,_XLL.RISKBINOMIAL(ROUND(O356,0),S356))</f>
        <v>0</v>
      </c>
      <c r="S356" s="11">
        <f t="shared" si="75"/>
        <v>0.0002337817386286467</v>
      </c>
      <c r="U356" s="2">
        <f t="shared" si="70"/>
        <v>102</v>
      </c>
      <c r="V356" s="2">
        <f t="shared" si="71"/>
        <v>1224</v>
      </c>
      <c r="W356" s="2">
        <f t="shared" si="72"/>
        <v>68</v>
      </c>
    </row>
    <row r="357" spans="1:23" ht="12.75">
      <c r="A357">
        <v>1</v>
      </c>
      <c r="B357">
        <v>353</v>
      </c>
      <c r="C357" s="2">
        <f t="shared" si="76"/>
        <v>100.61538461538461</v>
      </c>
      <c r="D357" s="2">
        <f t="shared" si="77"/>
        <v>1.3846153846153846</v>
      </c>
      <c r="E357" s="2">
        <f t="shared" si="78"/>
        <v>10.061538461538461</v>
      </c>
      <c r="F357" s="2">
        <f t="shared" si="79"/>
        <v>0.13846153846153847</v>
      </c>
      <c r="G357" s="9">
        <f>_XLL.RISKOUTPUT(,"Contaminated food products during a shift",354)+D357/(C357+D357)</f>
        <v>0.013574660633484163</v>
      </c>
      <c r="H357" s="2">
        <f>IF(C357&lt;1,0,_XLL.RISKBINOMIAL(ROUND(C357,0),I357))</f>
        <v>0</v>
      </c>
      <c r="I357" s="8">
        <f t="shared" si="80"/>
        <v>5.569062148913506E-05</v>
      </c>
      <c r="J357" s="2">
        <f t="shared" si="73"/>
        <v>1220.7418090519864</v>
      </c>
      <c r="K357" s="2">
        <f t="shared" si="74"/>
        <v>3.2581909480136027</v>
      </c>
      <c r="L357" s="10">
        <f>_XLL.RISKOUTPUT(,"Contaminated food contact surfaces during a shift",354)+K357/(J357+K357)</f>
        <v>0.00266192070916144</v>
      </c>
      <c r="M357" s="2">
        <f>IF(J357&lt;1,0,_XLL.RISKBINOMIAL(ROUND(J357,0),N357))</f>
        <v>0</v>
      </c>
      <c r="N357" s="11">
        <f t="shared" si="81"/>
        <v>1.3308466217609727E-05</v>
      </c>
      <c r="O357" s="2">
        <f t="shared" si="82"/>
        <v>68</v>
      </c>
      <c r="P357" s="2">
        <f t="shared" si="83"/>
        <v>0</v>
      </c>
      <c r="Q357" s="10">
        <f>_XLL.RISKOUTPUT(,"Contaminated gloves during a shift",354)+P357/(O357+P357)</f>
        <v>0</v>
      </c>
      <c r="R357" s="2">
        <f>IF(O357&lt;1,0,_XLL.RISKBINOMIAL(ROUND(O357,0),S357))</f>
        <v>0</v>
      </c>
      <c r="S357" s="11">
        <f t="shared" si="75"/>
        <v>0.0002337817386286467</v>
      </c>
      <c r="U357" s="2">
        <f t="shared" si="70"/>
        <v>102</v>
      </c>
      <c r="V357" s="2">
        <f t="shared" si="71"/>
        <v>1224</v>
      </c>
      <c r="W357" s="2">
        <f t="shared" si="72"/>
        <v>68</v>
      </c>
    </row>
    <row r="358" spans="1:23" ht="12.75">
      <c r="A358">
        <v>1</v>
      </c>
      <c r="B358">
        <v>354</v>
      </c>
      <c r="C358" s="2">
        <f t="shared" si="76"/>
        <v>100.61538461538461</v>
      </c>
      <c r="D358" s="2">
        <f t="shared" si="77"/>
        <v>1.3846153846153846</v>
      </c>
      <c r="E358" s="2">
        <f t="shared" si="78"/>
        <v>10.061538461538461</v>
      </c>
      <c r="F358" s="2">
        <f t="shared" si="79"/>
        <v>0.13846153846153847</v>
      </c>
      <c r="G358" s="9">
        <f>_XLL.RISKOUTPUT(,"Contaminated food products during a shift",355)+D358/(C358+D358)</f>
        <v>0.013574660633484163</v>
      </c>
      <c r="H358" s="2">
        <f>IF(C358&lt;1,0,_XLL.RISKBINOMIAL(ROUND(C358,0),I358))</f>
        <v>0</v>
      </c>
      <c r="I358" s="8">
        <f t="shared" si="80"/>
        <v>5.569062148913506E-05</v>
      </c>
      <c r="J358" s="2">
        <f t="shared" si="73"/>
        <v>1220.7418090519864</v>
      </c>
      <c r="K358" s="2">
        <f t="shared" si="74"/>
        <v>3.2581909480136027</v>
      </c>
      <c r="L358" s="10">
        <f>_XLL.RISKOUTPUT(,"Contaminated food contact surfaces during a shift",355)+K358/(J358+K358)</f>
        <v>0.00266192070916144</v>
      </c>
      <c r="M358" s="2">
        <f>IF(J358&lt;1,0,_XLL.RISKBINOMIAL(ROUND(J358,0),N358))</f>
        <v>0</v>
      </c>
      <c r="N358" s="11">
        <f t="shared" si="81"/>
        <v>1.3308466217609727E-05</v>
      </c>
      <c r="O358" s="2">
        <f t="shared" si="82"/>
        <v>68</v>
      </c>
      <c r="P358" s="2">
        <f t="shared" si="83"/>
        <v>0</v>
      </c>
      <c r="Q358" s="10">
        <f>_XLL.RISKOUTPUT(,"Contaminated gloves during a shift",355)+P358/(O358+P358)</f>
        <v>0</v>
      </c>
      <c r="R358" s="2">
        <f>IF(O358&lt;1,0,_XLL.RISKBINOMIAL(ROUND(O358,0),S358))</f>
        <v>0</v>
      </c>
      <c r="S358" s="11">
        <f t="shared" si="75"/>
        <v>0.0002337817386286467</v>
      </c>
      <c r="U358" s="2">
        <f t="shared" si="70"/>
        <v>102</v>
      </c>
      <c r="V358" s="2">
        <f t="shared" si="71"/>
        <v>1224</v>
      </c>
      <c r="W358" s="2">
        <f t="shared" si="72"/>
        <v>68</v>
      </c>
    </row>
    <row r="359" spans="1:23" ht="12.75">
      <c r="A359">
        <v>1</v>
      </c>
      <c r="B359">
        <v>355</v>
      </c>
      <c r="C359" s="2">
        <f t="shared" si="76"/>
        <v>100.61538461538461</v>
      </c>
      <c r="D359" s="2">
        <f t="shared" si="77"/>
        <v>1.3846153846153846</v>
      </c>
      <c r="E359" s="2">
        <f t="shared" si="78"/>
        <v>10.061538461538461</v>
      </c>
      <c r="F359" s="2">
        <f t="shared" si="79"/>
        <v>0.13846153846153847</v>
      </c>
      <c r="G359" s="9">
        <f>_XLL.RISKOUTPUT(,"Contaminated food products during a shift",356)+D359/(C359+D359)</f>
        <v>0.013574660633484163</v>
      </c>
      <c r="H359" s="2">
        <f>IF(C359&lt;1,0,_XLL.RISKBINOMIAL(ROUND(C359,0),I359))</f>
        <v>0</v>
      </c>
      <c r="I359" s="8">
        <f t="shared" si="80"/>
        <v>5.569062148913506E-05</v>
      </c>
      <c r="J359" s="2">
        <f t="shared" si="73"/>
        <v>1220.7418090519864</v>
      </c>
      <c r="K359" s="2">
        <f t="shared" si="74"/>
        <v>3.2581909480136027</v>
      </c>
      <c r="L359" s="10">
        <f>_XLL.RISKOUTPUT(,"Contaminated food contact surfaces during a shift",356)+K359/(J359+K359)</f>
        <v>0.00266192070916144</v>
      </c>
      <c r="M359" s="2">
        <f>IF(J359&lt;1,0,_XLL.RISKBINOMIAL(ROUND(J359,0),N359))</f>
        <v>0</v>
      </c>
      <c r="N359" s="11">
        <f t="shared" si="81"/>
        <v>1.3308466217609727E-05</v>
      </c>
      <c r="O359" s="2">
        <f t="shared" si="82"/>
        <v>68</v>
      </c>
      <c r="P359" s="2">
        <f t="shared" si="83"/>
        <v>0</v>
      </c>
      <c r="Q359" s="10">
        <f>_XLL.RISKOUTPUT(,"Contaminated gloves during a shift",356)+P359/(O359+P359)</f>
        <v>0</v>
      </c>
      <c r="R359" s="2">
        <f>IF(O359&lt;1,0,_XLL.RISKBINOMIAL(ROUND(O359,0),S359))</f>
        <v>0</v>
      </c>
      <c r="S359" s="11">
        <f t="shared" si="75"/>
        <v>0.0002337817386286467</v>
      </c>
      <c r="U359" s="2">
        <f t="shared" si="70"/>
        <v>102</v>
      </c>
      <c r="V359" s="2">
        <f t="shared" si="71"/>
        <v>1224</v>
      </c>
      <c r="W359" s="2">
        <f t="shared" si="72"/>
        <v>68</v>
      </c>
    </row>
    <row r="360" spans="1:23" ht="12.75">
      <c r="A360">
        <v>1</v>
      </c>
      <c r="B360">
        <v>356</v>
      </c>
      <c r="C360" s="2">
        <f t="shared" si="76"/>
        <v>100.61538461538461</v>
      </c>
      <c r="D360" s="2">
        <f t="shared" si="77"/>
        <v>1.3846153846153846</v>
      </c>
      <c r="E360" s="2">
        <f t="shared" si="78"/>
        <v>10.061538461538461</v>
      </c>
      <c r="F360" s="2">
        <f t="shared" si="79"/>
        <v>0.13846153846153847</v>
      </c>
      <c r="G360" s="9">
        <f>_XLL.RISKOUTPUT(,"Contaminated food products during a shift",357)+D360/(C360+D360)</f>
        <v>0.013574660633484163</v>
      </c>
      <c r="H360" s="2">
        <f>IF(C360&lt;1,0,_XLL.RISKBINOMIAL(ROUND(C360,0),I360))</f>
        <v>0</v>
      </c>
      <c r="I360" s="8">
        <f t="shared" si="80"/>
        <v>5.569062148913506E-05</v>
      </c>
      <c r="J360" s="2">
        <f t="shared" si="73"/>
        <v>1220.7418090519864</v>
      </c>
      <c r="K360" s="2">
        <f t="shared" si="74"/>
        <v>3.2581909480136027</v>
      </c>
      <c r="L360" s="10">
        <f>_XLL.RISKOUTPUT(,"Contaminated food contact surfaces during a shift",357)+K360/(J360+K360)</f>
        <v>0.00266192070916144</v>
      </c>
      <c r="M360" s="2">
        <f>IF(J360&lt;1,0,_XLL.RISKBINOMIAL(ROUND(J360,0),N360))</f>
        <v>0</v>
      </c>
      <c r="N360" s="11">
        <f t="shared" si="81"/>
        <v>1.3308466217609727E-05</v>
      </c>
      <c r="O360" s="2">
        <f t="shared" si="82"/>
        <v>68</v>
      </c>
      <c r="P360" s="2">
        <f t="shared" si="83"/>
        <v>0</v>
      </c>
      <c r="Q360" s="10">
        <f>_XLL.RISKOUTPUT(,"Contaminated gloves during a shift",357)+P360/(O360+P360)</f>
        <v>0</v>
      </c>
      <c r="R360" s="2">
        <f>IF(O360&lt;1,0,_XLL.RISKBINOMIAL(ROUND(O360,0),S360))</f>
        <v>0</v>
      </c>
      <c r="S360" s="11">
        <f t="shared" si="75"/>
        <v>0.0002337817386286467</v>
      </c>
      <c r="U360" s="2">
        <f t="shared" si="70"/>
        <v>102</v>
      </c>
      <c r="V360" s="2">
        <f t="shared" si="71"/>
        <v>1224</v>
      </c>
      <c r="W360" s="2">
        <f t="shared" si="72"/>
        <v>68</v>
      </c>
    </row>
    <row r="361" spans="1:23" ht="12.75">
      <c r="A361">
        <v>1</v>
      </c>
      <c r="B361">
        <v>357</v>
      </c>
      <c r="C361" s="2">
        <f t="shared" si="76"/>
        <v>100.61538461538461</v>
      </c>
      <c r="D361" s="2">
        <f t="shared" si="77"/>
        <v>1.3846153846153846</v>
      </c>
      <c r="E361" s="2">
        <f t="shared" si="78"/>
        <v>10.061538461538461</v>
      </c>
      <c r="F361" s="2">
        <f t="shared" si="79"/>
        <v>0.13846153846153847</v>
      </c>
      <c r="G361" s="9">
        <f>_XLL.RISKOUTPUT(,"Contaminated food products during a shift",358)+D361/(C361+D361)</f>
        <v>0.013574660633484163</v>
      </c>
      <c r="H361" s="2">
        <f>IF(C361&lt;1,0,_XLL.RISKBINOMIAL(ROUND(C361,0),I361))</f>
        <v>0</v>
      </c>
      <c r="I361" s="8">
        <f t="shared" si="80"/>
        <v>5.569062148913506E-05</v>
      </c>
      <c r="J361" s="2">
        <f t="shared" si="73"/>
        <v>1220.7418090519864</v>
      </c>
      <c r="K361" s="2">
        <f t="shared" si="74"/>
        <v>3.2581909480136027</v>
      </c>
      <c r="L361" s="10">
        <f>_XLL.RISKOUTPUT(,"Contaminated food contact surfaces during a shift",358)+K361/(J361+K361)</f>
        <v>0.00266192070916144</v>
      </c>
      <c r="M361" s="2">
        <f>IF(J361&lt;1,0,_XLL.RISKBINOMIAL(ROUND(J361,0),N361))</f>
        <v>0</v>
      </c>
      <c r="N361" s="11">
        <f t="shared" si="81"/>
        <v>1.3308466217609727E-05</v>
      </c>
      <c r="O361" s="2">
        <f t="shared" si="82"/>
        <v>68</v>
      </c>
      <c r="P361" s="2">
        <f t="shared" si="83"/>
        <v>0</v>
      </c>
      <c r="Q361" s="10">
        <f>_XLL.RISKOUTPUT(,"Contaminated gloves during a shift",358)+P361/(O361+P361)</f>
        <v>0</v>
      </c>
      <c r="R361" s="2">
        <f>IF(O361&lt;1,0,_XLL.RISKBINOMIAL(ROUND(O361,0),S361))</f>
        <v>0</v>
      </c>
      <c r="S361" s="11">
        <f t="shared" si="75"/>
        <v>0.0002337817386286467</v>
      </c>
      <c r="U361" s="2">
        <f t="shared" si="70"/>
        <v>102</v>
      </c>
      <c r="V361" s="2">
        <f t="shared" si="71"/>
        <v>1224</v>
      </c>
      <c r="W361" s="2">
        <f t="shared" si="72"/>
        <v>68</v>
      </c>
    </row>
    <row r="362" spans="1:23" ht="12.75">
      <c r="A362">
        <v>1</v>
      </c>
      <c r="B362">
        <v>358</v>
      </c>
      <c r="C362" s="2">
        <f t="shared" si="76"/>
        <v>100.61538461538461</v>
      </c>
      <c r="D362" s="2">
        <f t="shared" si="77"/>
        <v>1.3846153846153846</v>
      </c>
      <c r="E362" s="2">
        <f t="shared" si="78"/>
        <v>10.061538461538461</v>
      </c>
      <c r="F362" s="2">
        <f t="shared" si="79"/>
        <v>0.13846153846153847</v>
      </c>
      <c r="G362" s="9">
        <f>_XLL.RISKOUTPUT(,"Contaminated food products during a shift",359)+D362/(C362+D362)</f>
        <v>0.013574660633484163</v>
      </c>
      <c r="H362" s="2">
        <f>IF(C362&lt;1,0,_XLL.RISKBINOMIAL(ROUND(C362,0),I362))</f>
        <v>0</v>
      </c>
      <c r="I362" s="8">
        <f t="shared" si="80"/>
        <v>5.569062148913506E-05</v>
      </c>
      <c r="J362" s="2">
        <f t="shared" si="73"/>
        <v>1220.7418090519864</v>
      </c>
      <c r="K362" s="2">
        <f t="shared" si="74"/>
        <v>3.2581909480136027</v>
      </c>
      <c r="L362" s="10">
        <f>_XLL.RISKOUTPUT(,"Contaminated food contact surfaces during a shift",359)+K362/(J362+K362)</f>
        <v>0.00266192070916144</v>
      </c>
      <c r="M362" s="2">
        <f>IF(J362&lt;1,0,_XLL.RISKBINOMIAL(ROUND(J362,0),N362))</f>
        <v>0</v>
      </c>
      <c r="N362" s="11">
        <f t="shared" si="81"/>
        <v>1.3308466217609727E-05</v>
      </c>
      <c r="O362" s="2">
        <f t="shared" si="82"/>
        <v>68</v>
      </c>
      <c r="P362" s="2">
        <f t="shared" si="83"/>
        <v>0</v>
      </c>
      <c r="Q362" s="10">
        <f>_XLL.RISKOUTPUT(,"Contaminated gloves during a shift",359)+P362/(O362+P362)</f>
        <v>0</v>
      </c>
      <c r="R362" s="2">
        <f>IF(O362&lt;1,0,_XLL.RISKBINOMIAL(ROUND(O362,0),S362))</f>
        <v>0</v>
      </c>
      <c r="S362" s="11">
        <f t="shared" si="75"/>
        <v>0.0002337817386286467</v>
      </c>
      <c r="U362" s="2">
        <f t="shared" si="70"/>
        <v>102</v>
      </c>
      <c r="V362" s="2">
        <f t="shared" si="71"/>
        <v>1224</v>
      </c>
      <c r="W362" s="2">
        <f t="shared" si="72"/>
        <v>68</v>
      </c>
    </row>
    <row r="363" spans="1:23" ht="12.75">
      <c r="A363">
        <v>1</v>
      </c>
      <c r="B363">
        <v>359</v>
      </c>
      <c r="C363" s="2">
        <f t="shared" si="76"/>
        <v>100.61538461538461</v>
      </c>
      <c r="D363" s="2">
        <f t="shared" si="77"/>
        <v>1.3846153846153846</v>
      </c>
      <c r="E363" s="2">
        <f t="shared" si="78"/>
        <v>10.061538461538461</v>
      </c>
      <c r="F363" s="2">
        <f t="shared" si="79"/>
        <v>0.13846153846153847</v>
      </c>
      <c r="G363" s="9">
        <f>_XLL.RISKOUTPUT(,"Contaminated food products during a shift",360)+D363/(C363+D363)</f>
        <v>0.013574660633484163</v>
      </c>
      <c r="H363" s="2">
        <f>IF(C363&lt;1,0,_XLL.RISKBINOMIAL(ROUND(C363,0),I363))</f>
        <v>0</v>
      </c>
      <c r="I363" s="8">
        <f t="shared" si="80"/>
        <v>5.569062148913506E-05</v>
      </c>
      <c r="J363" s="2">
        <f t="shared" si="73"/>
        <v>1220.7418090519864</v>
      </c>
      <c r="K363" s="2">
        <f t="shared" si="74"/>
        <v>3.2581909480136027</v>
      </c>
      <c r="L363" s="10">
        <f>_XLL.RISKOUTPUT(,"Contaminated food contact surfaces during a shift",360)+K363/(J363+K363)</f>
        <v>0.00266192070916144</v>
      </c>
      <c r="M363" s="2">
        <f>IF(J363&lt;1,0,_XLL.RISKBINOMIAL(ROUND(J363,0),N363))</f>
        <v>0</v>
      </c>
      <c r="N363" s="11">
        <f t="shared" si="81"/>
        <v>1.3308466217609727E-05</v>
      </c>
      <c r="O363" s="2">
        <f t="shared" si="82"/>
        <v>68</v>
      </c>
      <c r="P363" s="2">
        <f t="shared" si="83"/>
        <v>0</v>
      </c>
      <c r="Q363" s="10">
        <f>_XLL.RISKOUTPUT(,"Contaminated gloves during a shift",360)+P363/(O363+P363)</f>
        <v>0</v>
      </c>
      <c r="R363" s="2">
        <f>IF(O363&lt;1,0,_XLL.RISKBINOMIAL(ROUND(O363,0),S363))</f>
        <v>0</v>
      </c>
      <c r="S363" s="11">
        <f t="shared" si="75"/>
        <v>0.0002337817386286467</v>
      </c>
      <c r="U363" s="2">
        <f t="shared" si="70"/>
        <v>102</v>
      </c>
      <c r="V363" s="2">
        <f t="shared" si="71"/>
        <v>1224</v>
      </c>
      <c r="W363" s="2">
        <f t="shared" si="72"/>
        <v>68</v>
      </c>
    </row>
    <row r="364" spans="1:23" ht="12.75">
      <c r="A364">
        <v>1</v>
      </c>
      <c r="B364">
        <v>360</v>
      </c>
      <c r="C364" s="2">
        <f t="shared" si="76"/>
        <v>100.61538461538461</v>
      </c>
      <c r="D364" s="2">
        <f t="shared" si="77"/>
        <v>1.3846153846153846</v>
      </c>
      <c r="E364" s="2">
        <f t="shared" si="78"/>
        <v>10.061538461538461</v>
      </c>
      <c r="F364" s="2">
        <f t="shared" si="79"/>
        <v>0.13846153846153847</v>
      </c>
      <c r="G364" s="9">
        <f>_XLL.RISKOUTPUT(,"Contaminated food products during a shift",361)+D364/(C364+D364)</f>
        <v>0.013574660633484163</v>
      </c>
      <c r="H364" s="2">
        <f>IF(C364&lt;1,0,_XLL.RISKBINOMIAL(ROUND(C364,0),I364))</f>
        <v>0</v>
      </c>
      <c r="I364" s="8">
        <f t="shared" si="80"/>
        <v>5.569062148913506E-05</v>
      </c>
      <c r="J364" s="2">
        <f t="shared" si="73"/>
        <v>1220.7418090519864</v>
      </c>
      <c r="K364" s="2">
        <f t="shared" si="74"/>
        <v>3.2581909480136027</v>
      </c>
      <c r="L364" s="10">
        <f>_XLL.RISKOUTPUT(,"Contaminated food contact surfaces during a shift",361)+K364/(J364+K364)</f>
        <v>0.00266192070916144</v>
      </c>
      <c r="M364" s="2">
        <f>IF(J364&lt;1,0,_XLL.RISKBINOMIAL(ROUND(J364,0),N364))</f>
        <v>0</v>
      </c>
      <c r="N364" s="11">
        <f t="shared" si="81"/>
        <v>1.3308466217609727E-05</v>
      </c>
      <c r="O364" s="2">
        <f t="shared" si="82"/>
        <v>68</v>
      </c>
      <c r="P364" s="2">
        <f t="shared" si="83"/>
        <v>0</v>
      </c>
      <c r="Q364" s="10">
        <f>_XLL.RISKOUTPUT(,"Contaminated gloves during a shift",361)+P364/(O364+P364)</f>
        <v>0</v>
      </c>
      <c r="R364" s="2">
        <f>IF(O364&lt;1,0,_XLL.RISKBINOMIAL(ROUND(O364,0),S364))</f>
        <v>0</v>
      </c>
      <c r="S364" s="11">
        <f t="shared" si="75"/>
        <v>0.0002337817386286467</v>
      </c>
      <c r="U364" s="2">
        <f t="shared" si="70"/>
        <v>102</v>
      </c>
      <c r="V364" s="2">
        <f t="shared" si="71"/>
        <v>1224</v>
      </c>
      <c r="W364" s="2">
        <f t="shared" si="72"/>
        <v>68</v>
      </c>
    </row>
    <row r="365" spans="1:23" ht="12.75">
      <c r="A365">
        <v>1</v>
      </c>
      <c r="B365">
        <v>361</v>
      </c>
      <c r="C365" s="2">
        <f t="shared" si="76"/>
        <v>100.61538461538461</v>
      </c>
      <c r="D365" s="2">
        <f t="shared" si="77"/>
        <v>1.3846153846153846</v>
      </c>
      <c r="E365" s="2">
        <f t="shared" si="78"/>
        <v>10.061538461538461</v>
      </c>
      <c r="F365" s="2">
        <f t="shared" si="79"/>
        <v>0.13846153846153847</v>
      </c>
      <c r="G365" s="9">
        <f>_XLL.RISKOUTPUT(,"Contaminated food products during a shift",362)+D365/(C365+D365)</f>
        <v>0.013574660633484163</v>
      </c>
      <c r="H365" s="2">
        <f>IF(C365&lt;1,0,_XLL.RISKBINOMIAL(ROUND(C365,0),I365))</f>
        <v>0</v>
      </c>
      <c r="I365" s="8">
        <f t="shared" si="80"/>
        <v>5.569062148913506E-05</v>
      </c>
      <c r="J365" s="2">
        <f t="shared" si="73"/>
        <v>1220.7418090519864</v>
      </c>
      <c r="K365" s="2">
        <f t="shared" si="74"/>
        <v>3.2581909480136027</v>
      </c>
      <c r="L365" s="10">
        <f>_XLL.RISKOUTPUT(,"Contaminated food contact surfaces during a shift",362)+K365/(J365+K365)</f>
        <v>0.00266192070916144</v>
      </c>
      <c r="M365" s="2">
        <f>IF(J365&lt;1,0,_XLL.RISKBINOMIAL(ROUND(J365,0),N365))</f>
        <v>0</v>
      </c>
      <c r="N365" s="11">
        <f t="shared" si="81"/>
        <v>1.3308466217609727E-05</v>
      </c>
      <c r="O365" s="2">
        <f t="shared" si="82"/>
        <v>68</v>
      </c>
      <c r="P365" s="2">
        <f t="shared" si="83"/>
        <v>0</v>
      </c>
      <c r="Q365" s="10">
        <f>_XLL.RISKOUTPUT(,"Contaminated gloves during a shift",362)+P365/(O365+P365)</f>
        <v>0</v>
      </c>
      <c r="R365" s="2">
        <f>IF(O365&lt;1,0,_XLL.RISKBINOMIAL(ROUND(O365,0),S365))</f>
        <v>0</v>
      </c>
      <c r="S365" s="11">
        <f t="shared" si="75"/>
        <v>0.0002337817386286467</v>
      </c>
      <c r="U365" s="2">
        <f t="shared" si="70"/>
        <v>102</v>
      </c>
      <c r="V365" s="2">
        <f t="shared" si="71"/>
        <v>1224</v>
      </c>
      <c r="W365" s="2">
        <f t="shared" si="72"/>
        <v>68</v>
      </c>
    </row>
    <row r="366" spans="1:23" ht="12.75">
      <c r="A366">
        <v>1</v>
      </c>
      <c r="B366">
        <v>362</v>
      </c>
      <c r="C366" s="2">
        <f t="shared" si="76"/>
        <v>100.61538461538461</v>
      </c>
      <c r="D366" s="2">
        <f t="shared" si="77"/>
        <v>1.3846153846153846</v>
      </c>
      <c r="E366" s="2">
        <f t="shared" si="78"/>
        <v>10.061538461538461</v>
      </c>
      <c r="F366" s="2">
        <f t="shared" si="79"/>
        <v>0.13846153846153847</v>
      </c>
      <c r="G366" s="9">
        <f>_XLL.RISKOUTPUT(,"Contaminated food products during a shift",363)+D366/(C366+D366)</f>
        <v>0.013574660633484163</v>
      </c>
      <c r="H366" s="2">
        <f>IF(C366&lt;1,0,_XLL.RISKBINOMIAL(ROUND(C366,0),I366))</f>
        <v>0</v>
      </c>
      <c r="I366" s="8">
        <f t="shared" si="80"/>
        <v>5.569062148913506E-05</v>
      </c>
      <c r="J366" s="2">
        <f t="shared" si="73"/>
        <v>1220.7418090519864</v>
      </c>
      <c r="K366" s="2">
        <f t="shared" si="74"/>
        <v>3.2581909480136027</v>
      </c>
      <c r="L366" s="10">
        <f>_XLL.RISKOUTPUT(,"Contaminated food contact surfaces during a shift",363)+K366/(J366+K366)</f>
        <v>0.00266192070916144</v>
      </c>
      <c r="M366" s="2">
        <f>IF(J366&lt;1,0,_XLL.RISKBINOMIAL(ROUND(J366,0),N366))</f>
        <v>0</v>
      </c>
      <c r="N366" s="11">
        <f t="shared" si="81"/>
        <v>1.3308466217609727E-05</v>
      </c>
      <c r="O366" s="2">
        <f t="shared" si="82"/>
        <v>68</v>
      </c>
      <c r="P366" s="2">
        <f t="shared" si="83"/>
        <v>0</v>
      </c>
      <c r="Q366" s="10">
        <f>_XLL.RISKOUTPUT(,"Contaminated gloves during a shift",363)+P366/(O366+P366)</f>
        <v>0</v>
      </c>
      <c r="R366" s="2">
        <f>IF(O366&lt;1,0,_XLL.RISKBINOMIAL(ROUND(O366,0),S366))</f>
        <v>0</v>
      </c>
      <c r="S366" s="11">
        <f t="shared" si="75"/>
        <v>0.0002337817386286467</v>
      </c>
      <c r="U366" s="2">
        <f t="shared" si="70"/>
        <v>102</v>
      </c>
      <c r="V366" s="2">
        <f t="shared" si="71"/>
        <v>1224</v>
      </c>
      <c r="W366" s="2">
        <f t="shared" si="72"/>
        <v>68</v>
      </c>
    </row>
    <row r="367" spans="1:23" ht="12.75">
      <c r="A367">
        <v>1</v>
      </c>
      <c r="B367">
        <v>363</v>
      </c>
      <c r="C367" s="2">
        <f t="shared" si="76"/>
        <v>100.61538461538461</v>
      </c>
      <c r="D367" s="2">
        <f t="shared" si="77"/>
        <v>1.3846153846153846</v>
      </c>
      <c r="E367" s="2">
        <f t="shared" si="78"/>
        <v>10.061538461538461</v>
      </c>
      <c r="F367" s="2">
        <f t="shared" si="79"/>
        <v>0.13846153846153847</v>
      </c>
      <c r="G367" s="9">
        <f>_XLL.RISKOUTPUT(,"Contaminated food products during a shift",364)+D367/(C367+D367)</f>
        <v>0.013574660633484163</v>
      </c>
      <c r="H367" s="2">
        <f>IF(C367&lt;1,0,_XLL.RISKBINOMIAL(ROUND(C367,0),I367))</f>
        <v>0</v>
      </c>
      <c r="I367" s="8">
        <f t="shared" si="80"/>
        <v>5.569062148913506E-05</v>
      </c>
      <c r="J367" s="2">
        <f t="shared" si="73"/>
        <v>1220.7418090519864</v>
      </c>
      <c r="K367" s="2">
        <f t="shared" si="74"/>
        <v>3.2581909480136027</v>
      </c>
      <c r="L367" s="10">
        <f>_XLL.RISKOUTPUT(,"Contaminated food contact surfaces during a shift",364)+K367/(J367+K367)</f>
        <v>0.00266192070916144</v>
      </c>
      <c r="M367" s="2">
        <f>IF(J367&lt;1,0,_XLL.RISKBINOMIAL(ROUND(J367,0),N367))</f>
        <v>0</v>
      </c>
      <c r="N367" s="11">
        <f t="shared" si="81"/>
        <v>1.3308466217609727E-05</v>
      </c>
      <c r="O367" s="2">
        <f t="shared" si="82"/>
        <v>68</v>
      </c>
      <c r="P367" s="2">
        <f t="shared" si="83"/>
        <v>0</v>
      </c>
      <c r="Q367" s="10">
        <f>_XLL.RISKOUTPUT(,"Contaminated gloves during a shift",364)+P367/(O367+P367)</f>
        <v>0</v>
      </c>
      <c r="R367" s="2">
        <f>IF(O367&lt;1,0,_XLL.RISKBINOMIAL(ROUND(O367,0),S367))</f>
        <v>0</v>
      </c>
      <c r="S367" s="11">
        <f t="shared" si="75"/>
        <v>0.0002337817386286467</v>
      </c>
      <c r="U367" s="2">
        <f t="shared" si="70"/>
        <v>102</v>
      </c>
      <c r="V367" s="2">
        <f t="shared" si="71"/>
        <v>1224</v>
      </c>
      <c r="W367" s="2">
        <f t="shared" si="72"/>
        <v>68</v>
      </c>
    </row>
    <row r="368" spans="1:23" ht="12.75">
      <c r="A368">
        <v>1</v>
      </c>
      <c r="B368">
        <v>364</v>
      </c>
      <c r="C368" s="2">
        <f t="shared" si="76"/>
        <v>100.61538461538461</v>
      </c>
      <c r="D368" s="2">
        <f t="shared" si="77"/>
        <v>1.3846153846153846</v>
      </c>
      <c r="E368" s="2">
        <f t="shared" si="78"/>
        <v>10.061538461538461</v>
      </c>
      <c r="F368" s="2">
        <f t="shared" si="79"/>
        <v>0.13846153846153847</v>
      </c>
      <c r="G368" s="9">
        <f>_XLL.RISKOUTPUT(,"Contaminated food products during a shift",365)+D368/(C368+D368)</f>
        <v>0.013574660633484163</v>
      </c>
      <c r="H368" s="2">
        <f>IF(C368&lt;1,0,_XLL.RISKBINOMIAL(ROUND(C368,0),I368))</f>
        <v>0</v>
      </c>
      <c r="I368" s="8">
        <f t="shared" si="80"/>
        <v>5.569062148913506E-05</v>
      </c>
      <c r="J368" s="2">
        <f t="shared" si="73"/>
        <v>1220.7418090519864</v>
      </c>
      <c r="K368" s="2">
        <f t="shared" si="74"/>
        <v>3.2581909480136027</v>
      </c>
      <c r="L368" s="10">
        <f>_XLL.RISKOUTPUT(,"Contaminated food contact surfaces during a shift",365)+K368/(J368+K368)</f>
        <v>0.00266192070916144</v>
      </c>
      <c r="M368" s="2">
        <f>IF(J368&lt;1,0,_XLL.RISKBINOMIAL(ROUND(J368,0),N368))</f>
        <v>0</v>
      </c>
      <c r="N368" s="11">
        <f t="shared" si="81"/>
        <v>1.3308466217609727E-05</v>
      </c>
      <c r="O368" s="2">
        <f t="shared" si="82"/>
        <v>68</v>
      </c>
      <c r="P368" s="2">
        <f t="shared" si="83"/>
        <v>0</v>
      </c>
      <c r="Q368" s="10">
        <f>_XLL.RISKOUTPUT(,"Contaminated gloves during a shift",365)+P368/(O368+P368)</f>
        <v>0</v>
      </c>
      <c r="R368" s="2">
        <f>IF(O368&lt;1,0,_XLL.RISKBINOMIAL(ROUND(O368,0),S368))</f>
        <v>0</v>
      </c>
      <c r="S368" s="11">
        <f t="shared" si="75"/>
        <v>0.0002337817386286467</v>
      </c>
      <c r="U368" s="2">
        <f t="shared" si="70"/>
        <v>102</v>
      </c>
      <c r="V368" s="2">
        <f t="shared" si="71"/>
        <v>1224</v>
      </c>
      <c r="W368" s="2">
        <f t="shared" si="72"/>
        <v>68</v>
      </c>
    </row>
    <row r="369" spans="1:23" ht="12.75">
      <c r="A369">
        <v>1</v>
      </c>
      <c r="B369">
        <v>365</v>
      </c>
      <c r="C369" s="2">
        <f t="shared" si="76"/>
        <v>100.61538461538461</v>
      </c>
      <c r="D369" s="2">
        <f t="shared" si="77"/>
        <v>1.3846153846153846</v>
      </c>
      <c r="E369" s="2">
        <f t="shared" si="78"/>
        <v>10.061538461538461</v>
      </c>
      <c r="F369" s="2">
        <f t="shared" si="79"/>
        <v>0.13846153846153847</v>
      </c>
      <c r="G369" s="9">
        <f>_XLL.RISKOUTPUT(,"Contaminated food products during a shift",366)+D369/(C369+D369)</f>
        <v>0.013574660633484163</v>
      </c>
      <c r="H369" s="2">
        <f>IF(C369&lt;1,0,_XLL.RISKBINOMIAL(ROUND(C369,0),I369))</f>
        <v>0</v>
      </c>
      <c r="I369" s="8">
        <f t="shared" si="80"/>
        <v>5.569062148913506E-05</v>
      </c>
      <c r="J369" s="2">
        <f t="shared" si="73"/>
        <v>1220.7418090519864</v>
      </c>
      <c r="K369" s="2">
        <f t="shared" si="74"/>
        <v>3.2581909480136027</v>
      </c>
      <c r="L369" s="10">
        <f>_XLL.RISKOUTPUT(,"Contaminated food contact surfaces during a shift",366)+K369/(J369+K369)</f>
        <v>0.00266192070916144</v>
      </c>
      <c r="M369" s="2">
        <f>IF(J369&lt;1,0,_XLL.RISKBINOMIAL(ROUND(J369,0),N369))</f>
        <v>0</v>
      </c>
      <c r="N369" s="11">
        <f t="shared" si="81"/>
        <v>1.3308466217609727E-05</v>
      </c>
      <c r="O369" s="2">
        <f t="shared" si="82"/>
        <v>68</v>
      </c>
      <c r="P369" s="2">
        <f t="shared" si="83"/>
        <v>0</v>
      </c>
      <c r="Q369" s="10">
        <f>_XLL.RISKOUTPUT(,"Contaminated gloves during a shift",366)+P369/(O369+P369)</f>
        <v>0</v>
      </c>
      <c r="R369" s="2">
        <f>IF(O369&lt;1,0,_XLL.RISKBINOMIAL(ROUND(O369,0),S369))</f>
        <v>0</v>
      </c>
      <c r="S369" s="11">
        <f t="shared" si="75"/>
        <v>0.0002337817386286467</v>
      </c>
      <c r="U369" s="2">
        <f t="shared" si="70"/>
        <v>102</v>
      </c>
      <c r="V369" s="2">
        <f t="shared" si="71"/>
        <v>1224</v>
      </c>
      <c r="W369" s="2">
        <f t="shared" si="72"/>
        <v>68</v>
      </c>
    </row>
    <row r="370" spans="1:23" ht="12.75">
      <c r="A370">
        <v>1</v>
      </c>
      <c r="B370">
        <v>366</v>
      </c>
      <c r="C370" s="2">
        <f t="shared" si="76"/>
        <v>100.61538461538461</v>
      </c>
      <c r="D370" s="2">
        <f t="shared" si="77"/>
        <v>1.3846153846153846</v>
      </c>
      <c r="E370" s="2">
        <f t="shared" si="78"/>
        <v>10.061538461538461</v>
      </c>
      <c r="F370" s="2">
        <f t="shared" si="79"/>
        <v>0.13846153846153847</v>
      </c>
      <c r="G370" s="9">
        <f>_XLL.RISKOUTPUT(,"Contaminated food products during a shift",367)+D370/(C370+D370)</f>
        <v>0.013574660633484163</v>
      </c>
      <c r="H370" s="2">
        <f>IF(C370&lt;1,0,_XLL.RISKBINOMIAL(ROUND(C370,0),I370))</f>
        <v>0</v>
      </c>
      <c r="I370" s="8">
        <f t="shared" si="80"/>
        <v>5.569062148913506E-05</v>
      </c>
      <c r="J370" s="2">
        <f t="shared" si="73"/>
        <v>1220.7418090519864</v>
      </c>
      <c r="K370" s="2">
        <f t="shared" si="74"/>
        <v>3.2581909480136027</v>
      </c>
      <c r="L370" s="10">
        <f>_XLL.RISKOUTPUT(,"Contaminated food contact surfaces during a shift",367)+K370/(J370+K370)</f>
        <v>0.00266192070916144</v>
      </c>
      <c r="M370" s="2">
        <f>IF(J370&lt;1,0,_XLL.RISKBINOMIAL(ROUND(J370,0),N370))</f>
        <v>0</v>
      </c>
      <c r="N370" s="11">
        <f t="shared" si="81"/>
        <v>1.3308466217609727E-05</v>
      </c>
      <c r="O370" s="2">
        <f t="shared" si="82"/>
        <v>68</v>
      </c>
      <c r="P370" s="2">
        <f t="shared" si="83"/>
        <v>0</v>
      </c>
      <c r="Q370" s="10">
        <f>_XLL.RISKOUTPUT(,"Contaminated gloves during a shift",367)+P370/(O370+P370)</f>
        <v>0</v>
      </c>
      <c r="R370" s="2">
        <f>IF(O370&lt;1,0,_XLL.RISKBINOMIAL(ROUND(O370,0),S370))</f>
        <v>0</v>
      </c>
      <c r="S370" s="11">
        <f t="shared" si="75"/>
        <v>0.0002337817386286467</v>
      </c>
      <c r="U370" s="2">
        <f t="shared" si="70"/>
        <v>102</v>
      </c>
      <c r="V370" s="2">
        <f t="shared" si="71"/>
        <v>1224</v>
      </c>
      <c r="W370" s="2">
        <f t="shared" si="72"/>
        <v>68</v>
      </c>
    </row>
    <row r="371" spans="1:23" ht="12.75">
      <c r="A371">
        <v>1</v>
      </c>
      <c r="B371">
        <v>367</v>
      </c>
      <c r="C371" s="2">
        <f t="shared" si="76"/>
        <v>100.61538461538461</v>
      </c>
      <c r="D371" s="2">
        <f t="shared" si="77"/>
        <v>1.3846153846153846</v>
      </c>
      <c r="E371" s="2">
        <f t="shared" si="78"/>
        <v>10.061538461538461</v>
      </c>
      <c r="F371" s="2">
        <f t="shared" si="79"/>
        <v>0.13846153846153847</v>
      </c>
      <c r="G371" s="9">
        <f>_XLL.RISKOUTPUT(,"Contaminated food products during a shift",368)+D371/(C371+D371)</f>
        <v>0.013574660633484163</v>
      </c>
      <c r="H371" s="2">
        <f>IF(C371&lt;1,0,_XLL.RISKBINOMIAL(ROUND(C371,0),I371))</f>
        <v>0</v>
      </c>
      <c r="I371" s="8">
        <f t="shared" si="80"/>
        <v>5.569062148913506E-05</v>
      </c>
      <c r="J371" s="2">
        <f t="shared" si="73"/>
        <v>1220.7418090519864</v>
      </c>
      <c r="K371" s="2">
        <f t="shared" si="74"/>
        <v>3.2581909480136027</v>
      </c>
      <c r="L371" s="10">
        <f>_XLL.RISKOUTPUT(,"Contaminated food contact surfaces during a shift",368)+K371/(J371+K371)</f>
        <v>0.00266192070916144</v>
      </c>
      <c r="M371" s="2">
        <f>IF(J371&lt;1,0,_XLL.RISKBINOMIAL(ROUND(J371,0),N371))</f>
        <v>0</v>
      </c>
      <c r="N371" s="11">
        <f t="shared" si="81"/>
        <v>1.3308466217609727E-05</v>
      </c>
      <c r="O371" s="2">
        <f t="shared" si="82"/>
        <v>68</v>
      </c>
      <c r="P371" s="2">
        <f t="shared" si="83"/>
        <v>0</v>
      </c>
      <c r="Q371" s="10">
        <f>_XLL.RISKOUTPUT(,"Contaminated gloves during a shift",368)+P371/(O371+P371)</f>
        <v>0</v>
      </c>
      <c r="R371" s="2">
        <f>IF(O371&lt;1,0,_XLL.RISKBINOMIAL(ROUND(O371,0),S371))</f>
        <v>0</v>
      </c>
      <c r="S371" s="11">
        <f t="shared" si="75"/>
        <v>0.0002337817386286467</v>
      </c>
      <c r="U371" s="2">
        <f t="shared" si="70"/>
        <v>102</v>
      </c>
      <c r="V371" s="2">
        <f t="shared" si="71"/>
        <v>1224</v>
      </c>
      <c r="W371" s="2">
        <f t="shared" si="72"/>
        <v>68</v>
      </c>
    </row>
    <row r="372" spans="1:23" ht="12.75">
      <c r="A372">
        <v>1</v>
      </c>
      <c r="B372">
        <v>368</v>
      </c>
      <c r="C372" s="2">
        <f t="shared" si="76"/>
        <v>100.61538461538461</v>
      </c>
      <c r="D372" s="2">
        <f t="shared" si="77"/>
        <v>1.3846153846153846</v>
      </c>
      <c r="E372" s="2">
        <f t="shared" si="78"/>
        <v>10.061538461538461</v>
      </c>
      <c r="F372" s="2">
        <f t="shared" si="79"/>
        <v>0.13846153846153847</v>
      </c>
      <c r="G372" s="9">
        <f>_XLL.RISKOUTPUT(,"Contaminated food products during a shift",369)+D372/(C372+D372)</f>
        <v>0.013574660633484163</v>
      </c>
      <c r="H372" s="2">
        <f>IF(C372&lt;1,0,_XLL.RISKBINOMIAL(ROUND(C372,0),I372))</f>
        <v>0</v>
      </c>
      <c r="I372" s="8">
        <f t="shared" si="80"/>
        <v>5.569062148913506E-05</v>
      </c>
      <c r="J372" s="2">
        <f t="shared" si="73"/>
        <v>1220.7418090519864</v>
      </c>
      <c r="K372" s="2">
        <f t="shared" si="74"/>
        <v>3.2581909480136027</v>
      </c>
      <c r="L372" s="10">
        <f>_XLL.RISKOUTPUT(,"Contaminated food contact surfaces during a shift",369)+K372/(J372+K372)</f>
        <v>0.00266192070916144</v>
      </c>
      <c r="M372" s="2">
        <f>IF(J372&lt;1,0,_XLL.RISKBINOMIAL(ROUND(J372,0),N372))</f>
        <v>0</v>
      </c>
      <c r="N372" s="11">
        <f t="shared" si="81"/>
        <v>1.3308466217609727E-05</v>
      </c>
      <c r="O372" s="2">
        <f t="shared" si="82"/>
        <v>68</v>
      </c>
      <c r="P372" s="2">
        <f t="shared" si="83"/>
        <v>0</v>
      </c>
      <c r="Q372" s="10">
        <f>_XLL.RISKOUTPUT(,"Contaminated gloves during a shift",369)+P372/(O372+P372)</f>
        <v>0</v>
      </c>
      <c r="R372" s="2">
        <f>IF(O372&lt;1,0,_XLL.RISKBINOMIAL(ROUND(O372,0),S372))</f>
        <v>0</v>
      </c>
      <c r="S372" s="11">
        <f t="shared" si="75"/>
        <v>0.0002337817386286467</v>
      </c>
      <c r="U372" s="2">
        <f t="shared" si="70"/>
        <v>102</v>
      </c>
      <c r="V372" s="2">
        <f t="shared" si="71"/>
        <v>1224</v>
      </c>
      <c r="W372" s="2">
        <f t="shared" si="72"/>
        <v>68</v>
      </c>
    </row>
    <row r="373" spans="1:23" ht="12.75">
      <c r="A373">
        <v>1</v>
      </c>
      <c r="B373">
        <v>369</v>
      </c>
      <c r="C373" s="2">
        <f t="shared" si="76"/>
        <v>100.61538461538461</v>
      </c>
      <c r="D373" s="2">
        <f t="shared" si="77"/>
        <v>1.3846153846153846</v>
      </c>
      <c r="E373" s="2">
        <f t="shared" si="78"/>
        <v>10.061538461538461</v>
      </c>
      <c r="F373" s="2">
        <f t="shared" si="79"/>
        <v>0.13846153846153847</v>
      </c>
      <c r="G373" s="9">
        <f>_XLL.RISKOUTPUT(,"Contaminated food products during a shift",370)+D373/(C373+D373)</f>
        <v>0.013574660633484163</v>
      </c>
      <c r="H373" s="2">
        <f>IF(C373&lt;1,0,_XLL.RISKBINOMIAL(ROUND(C373,0),I373))</f>
        <v>0</v>
      </c>
      <c r="I373" s="8">
        <f t="shared" si="80"/>
        <v>5.569062148913506E-05</v>
      </c>
      <c r="J373" s="2">
        <f t="shared" si="73"/>
        <v>1220.7418090519864</v>
      </c>
      <c r="K373" s="2">
        <f t="shared" si="74"/>
        <v>3.2581909480136027</v>
      </c>
      <c r="L373" s="10">
        <f>_XLL.RISKOUTPUT(,"Contaminated food contact surfaces during a shift",370)+K373/(J373+K373)</f>
        <v>0.00266192070916144</v>
      </c>
      <c r="M373" s="2">
        <f>IF(J373&lt;1,0,_XLL.RISKBINOMIAL(ROUND(J373,0),N373))</f>
        <v>0</v>
      </c>
      <c r="N373" s="11">
        <f t="shared" si="81"/>
        <v>1.3308466217609727E-05</v>
      </c>
      <c r="O373" s="2">
        <f t="shared" si="82"/>
        <v>68</v>
      </c>
      <c r="P373" s="2">
        <f t="shared" si="83"/>
        <v>0</v>
      </c>
      <c r="Q373" s="10">
        <f>_XLL.RISKOUTPUT(,"Contaminated gloves during a shift",370)+P373/(O373+P373)</f>
        <v>0</v>
      </c>
      <c r="R373" s="2">
        <f>IF(O373&lt;1,0,_XLL.RISKBINOMIAL(ROUND(O373,0),S373))</f>
        <v>0</v>
      </c>
      <c r="S373" s="11">
        <f t="shared" si="75"/>
        <v>0.0002337817386286467</v>
      </c>
      <c r="U373" s="2">
        <f t="shared" si="70"/>
        <v>102</v>
      </c>
      <c r="V373" s="2">
        <f t="shared" si="71"/>
        <v>1224</v>
      </c>
      <c r="W373" s="2">
        <f t="shared" si="72"/>
        <v>68</v>
      </c>
    </row>
    <row r="374" spans="1:23" ht="12.75">
      <c r="A374">
        <v>1</v>
      </c>
      <c r="B374">
        <v>370</v>
      </c>
      <c r="C374" s="2">
        <f t="shared" si="76"/>
        <v>100.61538461538461</v>
      </c>
      <c r="D374" s="2">
        <f t="shared" si="77"/>
        <v>1.3846153846153846</v>
      </c>
      <c r="E374" s="2">
        <f t="shared" si="78"/>
        <v>10.061538461538461</v>
      </c>
      <c r="F374" s="2">
        <f t="shared" si="79"/>
        <v>0.13846153846153847</v>
      </c>
      <c r="G374" s="9">
        <f>_XLL.RISKOUTPUT(,"Contaminated food products during a shift",371)+D374/(C374+D374)</f>
        <v>0.013574660633484163</v>
      </c>
      <c r="H374" s="2">
        <f>IF(C374&lt;1,0,_XLL.RISKBINOMIAL(ROUND(C374,0),I374))</f>
        <v>0</v>
      </c>
      <c r="I374" s="8">
        <f t="shared" si="80"/>
        <v>5.569062148913506E-05</v>
      </c>
      <c r="J374" s="2">
        <f t="shared" si="73"/>
        <v>1220.7418090519864</v>
      </c>
      <c r="K374" s="2">
        <f t="shared" si="74"/>
        <v>3.2581909480136027</v>
      </c>
      <c r="L374" s="10">
        <f>_XLL.RISKOUTPUT(,"Contaminated food contact surfaces during a shift",371)+K374/(J374+K374)</f>
        <v>0.00266192070916144</v>
      </c>
      <c r="M374" s="2">
        <f>IF(J374&lt;1,0,_XLL.RISKBINOMIAL(ROUND(J374,0),N374))</f>
        <v>0</v>
      </c>
      <c r="N374" s="11">
        <f t="shared" si="81"/>
        <v>1.3308466217609727E-05</v>
      </c>
      <c r="O374" s="2">
        <f t="shared" si="82"/>
        <v>68</v>
      </c>
      <c r="P374" s="2">
        <f t="shared" si="83"/>
        <v>0</v>
      </c>
      <c r="Q374" s="10">
        <f>_XLL.RISKOUTPUT(,"Contaminated gloves during a shift",371)+P374/(O374+P374)</f>
        <v>0</v>
      </c>
      <c r="R374" s="2">
        <f>IF(O374&lt;1,0,_XLL.RISKBINOMIAL(ROUND(O374,0),S374))</f>
        <v>0</v>
      </c>
      <c r="S374" s="11">
        <f t="shared" si="75"/>
        <v>0.0002337817386286467</v>
      </c>
      <c r="U374" s="2">
        <f t="shared" si="70"/>
        <v>102</v>
      </c>
      <c r="V374" s="2">
        <f t="shared" si="71"/>
        <v>1224</v>
      </c>
      <c r="W374" s="2">
        <f t="shared" si="72"/>
        <v>68</v>
      </c>
    </row>
    <row r="375" spans="1:23" ht="12.75">
      <c r="A375">
        <v>1</v>
      </c>
      <c r="B375">
        <v>371</v>
      </c>
      <c r="C375" s="2">
        <f t="shared" si="76"/>
        <v>100.61538461538461</v>
      </c>
      <c r="D375" s="2">
        <f t="shared" si="77"/>
        <v>1.3846153846153846</v>
      </c>
      <c r="E375" s="2">
        <f t="shared" si="78"/>
        <v>10.061538461538461</v>
      </c>
      <c r="F375" s="2">
        <f t="shared" si="79"/>
        <v>0.13846153846153847</v>
      </c>
      <c r="G375" s="9">
        <f>_XLL.RISKOUTPUT(,"Contaminated food products during a shift",372)+D375/(C375+D375)</f>
        <v>0.013574660633484163</v>
      </c>
      <c r="H375" s="2">
        <f>IF(C375&lt;1,0,_XLL.RISKBINOMIAL(ROUND(C375,0),I375))</f>
        <v>0</v>
      </c>
      <c r="I375" s="8">
        <f t="shared" si="80"/>
        <v>5.569062148913506E-05</v>
      </c>
      <c r="J375" s="2">
        <f t="shared" si="73"/>
        <v>1220.7418090519864</v>
      </c>
      <c r="K375" s="2">
        <f t="shared" si="74"/>
        <v>3.2581909480136027</v>
      </c>
      <c r="L375" s="10">
        <f>_XLL.RISKOUTPUT(,"Contaminated food contact surfaces during a shift",372)+K375/(J375+K375)</f>
        <v>0.00266192070916144</v>
      </c>
      <c r="M375" s="2">
        <f>IF(J375&lt;1,0,_XLL.RISKBINOMIAL(ROUND(J375,0),N375))</f>
        <v>0</v>
      </c>
      <c r="N375" s="11">
        <f t="shared" si="81"/>
        <v>1.3308466217609727E-05</v>
      </c>
      <c r="O375" s="2">
        <f t="shared" si="82"/>
        <v>68</v>
      </c>
      <c r="P375" s="2">
        <f t="shared" si="83"/>
        <v>0</v>
      </c>
      <c r="Q375" s="10">
        <f>_XLL.RISKOUTPUT(,"Contaminated gloves during a shift",372)+P375/(O375+P375)</f>
        <v>0</v>
      </c>
      <c r="R375" s="2">
        <f>IF(O375&lt;1,0,_XLL.RISKBINOMIAL(ROUND(O375,0),S375))</f>
        <v>0</v>
      </c>
      <c r="S375" s="11">
        <f t="shared" si="75"/>
        <v>0.0002337817386286467</v>
      </c>
      <c r="U375" s="2">
        <f t="shared" si="70"/>
        <v>102</v>
      </c>
      <c r="V375" s="2">
        <f t="shared" si="71"/>
        <v>1224</v>
      </c>
      <c r="W375" s="2">
        <f t="shared" si="72"/>
        <v>68</v>
      </c>
    </row>
    <row r="376" spans="1:23" ht="12.75">
      <c r="A376">
        <v>1</v>
      </c>
      <c r="B376">
        <v>372</v>
      </c>
      <c r="C376" s="2">
        <f t="shared" si="76"/>
        <v>100.61538461538461</v>
      </c>
      <c r="D376" s="2">
        <f t="shared" si="77"/>
        <v>1.3846153846153846</v>
      </c>
      <c r="E376" s="2">
        <f t="shared" si="78"/>
        <v>10.061538461538461</v>
      </c>
      <c r="F376" s="2">
        <f t="shared" si="79"/>
        <v>0.13846153846153847</v>
      </c>
      <c r="G376" s="9">
        <f>_XLL.RISKOUTPUT(,"Contaminated food products during a shift",373)+D376/(C376+D376)</f>
        <v>0.013574660633484163</v>
      </c>
      <c r="H376" s="2">
        <f>IF(C376&lt;1,0,_XLL.RISKBINOMIAL(ROUND(C376,0),I376))</f>
        <v>0</v>
      </c>
      <c r="I376" s="8">
        <f t="shared" si="80"/>
        <v>5.569062148913506E-05</v>
      </c>
      <c r="J376" s="2">
        <f t="shared" si="73"/>
        <v>1220.7418090519864</v>
      </c>
      <c r="K376" s="2">
        <f t="shared" si="74"/>
        <v>3.2581909480136027</v>
      </c>
      <c r="L376" s="10">
        <f>_XLL.RISKOUTPUT(,"Contaminated food contact surfaces during a shift",373)+K376/(J376+K376)</f>
        <v>0.00266192070916144</v>
      </c>
      <c r="M376" s="2">
        <f>IF(J376&lt;1,0,_XLL.RISKBINOMIAL(ROUND(J376,0),N376))</f>
        <v>0</v>
      </c>
      <c r="N376" s="11">
        <f t="shared" si="81"/>
        <v>1.3308466217609727E-05</v>
      </c>
      <c r="O376" s="2">
        <f t="shared" si="82"/>
        <v>68</v>
      </c>
      <c r="P376" s="2">
        <f t="shared" si="83"/>
        <v>0</v>
      </c>
      <c r="Q376" s="10">
        <f>_XLL.RISKOUTPUT(,"Contaminated gloves during a shift",373)+P376/(O376+P376)</f>
        <v>0</v>
      </c>
      <c r="R376" s="2">
        <f>IF(O376&lt;1,0,_XLL.RISKBINOMIAL(ROUND(O376,0),S376))</f>
        <v>0</v>
      </c>
      <c r="S376" s="11">
        <f t="shared" si="75"/>
        <v>0.0002337817386286467</v>
      </c>
      <c r="U376" s="2">
        <f t="shared" si="70"/>
        <v>102</v>
      </c>
      <c r="V376" s="2">
        <f t="shared" si="71"/>
        <v>1224</v>
      </c>
      <c r="W376" s="2">
        <f t="shared" si="72"/>
        <v>68</v>
      </c>
    </row>
    <row r="377" spans="1:23" ht="12.75">
      <c r="A377">
        <v>1</v>
      </c>
      <c r="B377">
        <v>373</v>
      </c>
      <c r="C377" s="2">
        <f t="shared" si="76"/>
        <v>100.61538461538461</v>
      </c>
      <c r="D377" s="2">
        <f t="shared" si="77"/>
        <v>1.3846153846153846</v>
      </c>
      <c r="E377" s="2">
        <f t="shared" si="78"/>
        <v>10.061538461538461</v>
      </c>
      <c r="F377" s="2">
        <f t="shared" si="79"/>
        <v>0.13846153846153847</v>
      </c>
      <c r="G377" s="9">
        <f>_XLL.RISKOUTPUT(,"Contaminated food products during a shift",374)+D377/(C377+D377)</f>
        <v>0.013574660633484163</v>
      </c>
      <c r="H377" s="2">
        <f>IF(C377&lt;1,0,_XLL.RISKBINOMIAL(ROUND(C377,0),I377))</f>
        <v>0</v>
      </c>
      <c r="I377" s="8">
        <f t="shared" si="80"/>
        <v>5.569062148913506E-05</v>
      </c>
      <c r="J377" s="2">
        <f t="shared" si="73"/>
        <v>1220.7418090519864</v>
      </c>
      <c r="K377" s="2">
        <f t="shared" si="74"/>
        <v>3.2581909480136027</v>
      </c>
      <c r="L377" s="10">
        <f>_XLL.RISKOUTPUT(,"Contaminated food contact surfaces during a shift",374)+K377/(J377+K377)</f>
        <v>0.00266192070916144</v>
      </c>
      <c r="M377" s="2">
        <f>IF(J377&lt;1,0,_XLL.RISKBINOMIAL(ROUND(J377,0),N377))</f>
        <v>0</v>
      </c>
      <c r="N377" s="11">
        <f t="shared" si="81"/>
        <v>1.3308466217609727E-05</v>
      </c>
      <c r="O377" s="2">
        <f t="shared" si="82"/>
        <v>68</v>
      </c>
      <c r="P377" s="2">
        <f t="shared" si="83"/>
        <v>0</v>
      </c>
      <c r="Q377" s="10">
        <f>_XLL.RISKOUTPUT(,"Contaminated gloves during a shift",374)+P377/(O377+P377)</f>
        <v>0</v>
      </c>
      <c r="R377" s="2">
        <f>IF(O377&lt;1,0,_XLL.RISKBINOMIAL(ROUND(O377,0),S377))</f>
        <v>0</v>
      </c>
      <c r="S377" s="11">
        <f t="shared" si="75"/>
        <v>0.0002337817386286467</v>
      </c>
      <c r="U377" s="2">
        <f t="shared" si="70"/>
        <v>102</v>
      </c>
      <c r="V377" s="2">
        <f t="shared" si="71"/>
        <v>1224</v>
      </c>
      <c r="W377" s="2">
        <f t="shared" si="72"/>
        <v>68</v>
      </c>
    </row>
    <row r="378" spans="1:23" ht="12.75">
      <c r="A378">
        <v>1</v>
      </c>
      <c r="B378">
        <v>374</v>
      </c>
      <c r="C378" s="2">
        <f t="shared" si="76"/>
        <v>100.61538461538461</v>
      </c>
      <c r="D378" s="2">
        <f t="shared" si="77"/>
        <v>1.3846153846153846</v>
      </c>
      <c r="E378" s="2">
        <f t="shared" si="78"/>
        <v>10.061538461538461</v>
      </c>
      <c r="F378" s="2">
        <f t="shared" si="79"/>
        <v>0.13846153846153847</v>
      </c>
      <c r="G378" s="9">
        <f>_XLL.RISKOUTPUT(,"Contaminated food products during a shift",375)+D378/(C378+D378)</f>
        <v>0.013574660633484163</v>
      </c>
      <c r="H378" s="2">
        <f>IF(C378&lt;1,0,_XLL.RISKBINOMIAL(ROUND(C378,0),I378))</f>
        <v>0</v>
      </c>
      <c r="I378" s="8">
        <f t="shared" si="80"/>
        <v>5.569062148913506E-05</v>
      </c>
      <c r="J378" s="2">
        <f t="shared" si="73"/>
        <v>1220.7418090519864</v>
      </c>
      <c r="K378" s="2">
        <f t="shared" si="74"/>
        <v>3.2581909480136027</v>
      </c>
      <c r="L378" s="10">
        <f>_XLL.RISKOUTPUT(,"Contaminated food contact surfaces during a shift",375)+K378/(J378+K378)</f>
        <v>0.00266192070916144</v>
      </c>
      <c r="M378" s="2">
        <f>IF(J378&lt;1,0,_XLL.RISKBINOMIAL(ROUND(J378,0),N378))</f>
        <v>0</v>
      </c>
      <c r="N378" s="11">
        <f t="shared" si="81"/>
        <v>1.3308466217609727E-05</v>
      </c>
      <c r="O378" s="2">
        <f t="shared" si="82"/>
        <v>68</v>
      </c>
      <c r="P378" s="2">
        <f t="shared" si="83"/>
        <v>0</v>
      </c>
      <c r="Q378" s="10">
        <f>_XLL.RISKOUTPUT(,"Contaminated gloves during a shift",375)+P378/(O378+P378)</f>
        <v>0</v>
      </c>
      <c r="R378" s="2">
        <f>IF(O378&lt;1,0,_XLL.RISKBINOMIAL(ROUND(O378,0),S378))</f>
        <v>0</v>
      </c>
      <c r="S378" s="11">
        <f t="shared" si="75"/>
        <v>0.0002337817386286467</v>
      </c>
      <c r="U378" s="2">
        <f t="shared" si="70"/>
        <v>102</v>
      </c>
      <c r="V378" s="2">
        <f t="shared" si="71"/>
        <v>1224</v>
      </c>
      <c r="W378" s="2">
        <f t="shared" si="72"/>
        <v>68</v>
      </c>
    </row>
    <row r="379" spans="1:23" ht="12.75">
      <c r="A379">
        <v>1</v>
      </c>
      <c r="B379">
        <v>375</v>
      </c>
      <c r="C379" s="2">
        <f t="shared" si="76"/>
        <v>100.61538461538461</v>
      </c>
      <c r="D379" s="2">
        <f t="shared" si="77"/>
        <v>1.3846153846153846</v>
      </c>
      <c r="E379" s="2">
        <f t="shared" si="78"/>
        <v>10.061538461538461</v>
      </c>
      <c r="F379" s="2">
        <f t="shared" si="79"/>
        <v>0.13846153846153847</v>
      </c>
      <c r="G379" s="9">
        <f>_XLL.RISKOUTPUT(,"Contaminated food products during a shift",376)+D379/(C379+D379)</f>
        <v>0.013574660633484163</v>
      </c>
      <c r="H379" s="2">
        <f>IF(C379&lt;1,0,_XLL.RISKBINOMIAL(ROUND(C379,0),I379))</f>
        <v>0</v>
      </c>
      <c r="I379" s="8">
        <f t="shared" si="80"/>
        <v>5.569062148913506E-05</v>
      </c>
      <c r="J379" s="2">
        <f t="shared" si="73"/>
        <v>1220.7418090519864</v>
      </c>
      <c r="K379" s="2">
        <f t="shared" si="74"/>
        <v>3.2581909480136027</v>
      </c>
      <c r="L379" s="10">
        <f>_XLL.RISKOUTPUT(,"Contaminated food contact surfaces during a shift",376)+K379/(J379+K379)</f>
        <v>0.00266192070916144</v>
      </c>
      <c r="M379" s="2">
        <f>IF(J379&lt;1,0,_XLL.RISKBINOMIAL(ROUND(J379,0),N379))</f>
        <v>0</v>
      </c>
      <c r="N379" s="11">
        <f t="shared" si="81"/>
        <v>1.3308466217609727E-05</v>
      </c>
      <c r="O379" s="2">
        <f t="shared" si="82"/>
        <v>68</v>
      </c>
      <c r="P379" s="2">
        <f t="shared" si="83"/>
        <v>0</v>
      </c>
      <c r="Q379" s="10">
        <f>_XLL.RISKOUTPUT(,"Contaminated gloves during a shift",376)+P379/(O379+P379)</f>
        <v>0</v>
      </c>
      <c r="R379" s="2">
        <f>IF(O379&lt;1,0,_XLL.RISKBINOMIAL(ROUND(O379,0),S379))</f>
        <v>0</v>
      </c>
      <c r="S379" s="11">
        <f t="shared" si="75"/>
        <v>0.0002337817386286467</v>
      </c>
      <c r="U379" s="2">
        <f t="shared" si="70"/>
        <v>102</v>
      </c>
      <c r="V379" s="2">
        <f t="shared" si="71"/>
        <v>1224</v>
      </c>
      <c r="W379" s="2">
        <f t="shared" si="72"/>
        <v>68</v>
      </c>
    </row>
    <row r="380" spans="1:23" ht="12.75">
      <c r="A380">
        <v>1</v>
      </c>
      <c r="B380">
        <v>376</v>
      </c>
      <c r="C380" s="2">
        <f t="shared" si="76"/>
        <v>100.61538461538461</v>
      </c>
      <c r="D380" s="2">
        <f t="shared" si="77"/>
        <v>1.3846153846153846</v>
      </c>
      <c r="E380" s="2">
        <f t="shared" si="78"/>
        <v>10.061538461538461</v>
      </c>
      <c r="F380" s="2">
        <f t="shared" si="79"/>
        <v>0.13846153846153847</v>
      </c>
      <c r="G380" s="9">
        <f>_XLL.RISKOUTPUT(,"Contaminated food products during a shift",377)+D380/(C380+D380)</f>
        <v>0.013574660633484163</v>
      </c>
      <c r="H380" s="2">
        <f>IF(C380&lt;1,0,_XLL.RISKBINOMIAL(ROUND(C380,0),I380))</f>
        <v>0</v>
      </c>
      <c r="I380" s="8">
        <f t="shared" si="80"/>
        <v>5.569062148913506E-05</v>
      </c>
      <c r="J380" s="2">
        <f t="shared" si="73"/>
        <v>1220.7418090519864</v>
      </c>
      <c r="K380" s="2">
        <f t="shared" si="74"/>
        <v>3.2581909480136027</v>
      </c>
      <c r="L380" s="10">
        <f>_XLL.RISKOUTPUT(,"Contaminated food contact surfaces during a shift",377)+K380/(J380+K380)</f>
        <v>0.00266192070916144</v>
      </c>
      <c r="M380" s="2">
        <f>IF(J380&lt;1,0,_XLL.RISKBINOMIAL(ROUND(J380,0),N380))</f>
        <v>0</v>
      </c>
      <c r="N380" s="11">
        <f t="shared" si="81"/>
        <v>1.3308466217609727E-05</v>
      </c>
      <c r="O380" s="2">
        <f t="shared" si="82"/>
        <v>68</v>
      </c>
      <c r="P380" s="2">
        <f t="shared" si="83"/>
        <v>0</v>
      </c>
      <c r="Q380" s="10">
        <f>_XLL.RISKOUTPUT(,"Contaminated gloves during a shift",377)+P380/(O380+P380)</f>
        <v>0</v>
      </c>
      <c r="R380" s="2">
        <f>IF(O380&lt;1,0,_XLL.RISKBINOMIAL(ROUND(O380,0),S380))</f>
        <v>0</v>
      </c>
      <c r="S380" s="11">
        <f t="shared" si="75"/>
        <v>0.0002337817386286467</v>
      </c>
      <c r="U380" s="2">
        <f t="shared" si="70"/>
        <v>102</v>
      </c>
      <c r="V380" s="2">
        <f t="shared" si="71"/>
        <v>1224</v>
      </c>
      <c r="W380" s="2">
        <f t="shared" si="72"/>
        <v>68</v>
      </c>
    </row>
    <row r="381" spans="1:23" ht="12.75">
      <c r="A381">
        <v>1</v>
      </c>
      <c r="B381">
        <v>377</v>
      </c>
      <c r="C381" s="2">
        <f t="shared" si="76"/>
        <v>100.61538461538461</v>
      </c>
      <c r="D381" s="2">
        <f t="shared" si="77"/>
        <v>1.3846153846153846</v>
      </c>
      <c r="E381" s="2">
        <f t="shared" si="78"/>
        <v>10.061538461538461</v>
      </c>
      <c r="F381" s="2">
        <f t="shared" si="79"/>
        <v>0.13846153846153847</v>
      </c>
      <c r="G381" s="9">
        <f>_XLL.RISKOUTPUT(,"Contaminated food products during a shift",378)+D381/(C381+D381)</f>
        <v>0.013574660633484163</v>
      </c>
      <c r="H381" s="2">
        <f>IF(C381&lt;1,0,_XLL.RISKBINOMIAL(ROUND(C381,0),I381))</f>
        <v>0</v>
      </c>
      <c r="I381" s="8">
        <f t="shared" si="80"/>
        <v>5.569062148913506E-05</v>
      </c>
      <c r="J381" s="2">
        <f t="shared" si="73"/>
        <v>1220.7418090519864</v>
      </c>
      <c r="K381" s="2">
        <f t="shared" si="74"/>
        <v>3.2581909480136027</v>
      </c>
      <c r="L381" s="10">
        <f>_XLL.RISKOUTPUT(,"Contaminated food contact surfaces during a shift",378)+K381/(J381+K381)</f>
        <v>0.00266192070916144</v>
      </c>
      <c r="M381" s="2">
        <f>IF(J381&lt;1,0,_XLL.RISKBINOMIAL(ROUND(J381,0),N381))</f>
        <v>0</v>
      </c>
      <c r="N381" s="11">
        <f t="shared" si="81"/>
        <v>1.3308466217609727E-05</v>
      </c>
      <c r="O381" s="2">
        <f t="shared" si="82"/>
        <v>68</v>
      </c>
      <c r="P381" s="2">
        <f t="shared" si="83"/>
        <v>0</v>
      </c>
      <c r="Q381" s="10">
        <f>_XLL.RISKOUTPUT(,"Contaminated gloves during a shift",378)+P381/(O381+P381)</f>
        <v>0</v>
      </c>
      <c r="R381" s="2">
        <f>IF(O381&lt;1,0,_XLL.RISKBINOMIAL(ROUND(O381,0),S381))</f>
        <v>0</v>
      </c>
      <c r="S381" s="11">
        <f t="shared" si="75"/>
        <v>0.0002337817386286467</v>
      </c>
      <c r="U381" s="2">
        <f t="shared" si="70"/>
        <v>102</v>
      </c>
      <c r="V381" s="2">
        <f t="shared" si="71"/>
        <v>1224</v>
      </c>
      <c r="W381" s="2">
        <f t="shared" si="72"/>
        <v>68</v>
      </c>
    </row>
    <row r="382" spans="1:23" ht="12.75">
      <c r="A382">
        <v>1</v>
      </c>
      <c r="B382">
        <v>378</v>
      </c>
      <c r="C382" s="2">
        <f t="shared" si="76"/>
        <v>100.61538461538461</v>
      </c>
      <c r="D382" s="2">
        <f t="shared" si="77"/>
        <v>1.3846153846153846</v>
      </c>
      <c r="E382" s="2">
        <f t="shared" si="78"/>
        <v>10.061538461538461</v>
      </c>
      <c r="F382" s="2">
        <f t="shared" si="79"/>
        <v>0.13846153846153847</v>
      </c>
      <c r="G382" s="9">
        <f>_XLL.RISKOUTPUT(,"Contaminated food products during a shift",379)+D382/(C382+D382)</f>
        <v>0.013574660633484163</v>
      </c>
      <c r="H382" s="2">
        <f>IF(C382&lt;1,0,_XLL.RISKBINOMIAL(ROUND(C382,0),I382))</f>
        <v>0</v>
      </c>
      <c r="I382" s="8">
        <f t="shared" si="80"/>
        <v>5.569062148913506E-05</v>
      </c>
      <c r="J382" s="2">
        <f t="shared" si="73"/>
        <v>1220.7418090519864</v>
      </c>
      <c r="K382" s="2">
        <f t="shared" si="74"/>
        <v>3.2581909480136027</v>
      </c>
      <c r="L382" s="10">
        <f>_XLL.RISKOUTPUT(,"Contaminated food contact surfaces during a shift",379)+K382/(J382+K382)</f>
        <v>0.00266192070916144</v>
      </c>
      <c r="M382" s="2">
        <f>IF(J382&lt;1,0,_XLL.RISKBINOMIAL(ROUND(J382,0),N382))</f>
        <v>0</v>
      </c>
      <c r="N382" s="11">
        <f t="shared" si="81"/>
        <v>1.3308466217609727E-05</v>
      </c>
      <c r="O382" s="2">
        <f t="shared" si="82"/>
        <v>68</v>
      </c>
      <c r="P382" s="2">
        <f t="shared" si="83"/>
        <v>0</v>
      </c>
      <c r="Q382" s="10">
        <f>_XLL.RISKOUTPUT(,"Contaminated gloves during a shift",379)+P382/(O382+P382)</f>
        <v>0</v>
      </c>
      <c r="R382" s="2">
        <f>IF(O382&lt;1,0,_XLL.RISKBINOMIAL(ROUND(O382,0),S382))</f>
        <v>0</v>
      </c>
      <c r="S382" s="11">
        <f t="shared" si="75"/>
        <v>0.0002337817386286467</v>
      </c>
      <c r="U382" s="2">
        <f t="shared" si="70"/>
        <v>102</v>
      </c>
      <c r="V382" s="2">
        <f t="shared" si="71"/>
        <v>1224</v>
      </c>
      <c r="W382" s="2">
        <f t="shared" si="72"/>
        <v>68</v>
      </c>
    </row>
    <row r="383" spans="1:23" ht="12.75">
      <c r="A383">
        <v>1</v>
      </c>
      <c r="B383">
        <v>379</v>
      </c>
      <c r="C383" s="2">
        <f t="shared" si="76"/>
        <v>100.61538461538461</v>
      </c>
      <c r="D383" s="2">
        <f t="shared" si="77"/>
        <v>1.3846153846153846</v>
      </c>
      <c r="E383" s="2">
        <f t="shared" si="78"/>
        <v>10.061538461538461</v>
      </c>
      <c r="F383" s="2">
        <f t="shared" si="79"/>
        <v>0.13846153846153847</v>
      </c>
      <c r="G383" s="9">
        <f>_XLL.RISKOUTPUT(,"Contaminated food products during a shift",380)+D383/(C383+D383)</f>
        <v>0.013574660633484163</v>
      </c>
      <c r="H383" s="2">
        <f>IF(C383&lt;1,0,_XLL.RISKBINOMIAL(ROUND(C383,0),I383))</f>
        <v>0</v>
      </c>
      <c r="I383" s="8">
        <f t="shared" si="80"/>
        <v>5.569062148913506E-05</v>
      </c>
      <c r="J383" s="2">
        <f t="shared" si="73"/>
        <v>1220.7418090519864</v>
      </c>
      <c r="K383" s="2">
        <f t="shared" si="74"/>
        <v>3.2581909480136027</v>
      </c>
      <c r="L383" s="10">
        <f>_XLL.RISKOUTPUT(,"Contaminated food contact surfaces during a shift",380)+K383/(J383+K383)</f>
        <v>0.00266192070916144</v>
      </c>
      <c r="M383" s="2">
        <f>IF(J383&lt;1,0,_XLL.RISKBINOMIAL(ROUND(J383,0),N383))</f>
        <v>0</v>
      </c>
      <c r="N383" s="11">
        <f t="shared" si="81"/>
        <v>1.3308466217609727E-05</v>
      </c>
      <c r="O383" s="2">
        <f t="shared" si="82"/>
        <v>68</v>
      </c>
      <c r="P383" s="2">
        <f t="shared" si="83"/>
        <v>0</v>
      </c>
      <c r="Q383" s="10">
        <f>_XLL.RISKOUTPUT(,"Contaminated gloves during a shift",380)+P383/(O383+P383)</f>
        <v>0</v>
      </c>
      <c r="R383" s="2">
        <f>IF(O383&lt;1,0,_XLL.RISKBINOMIAL(ROUND(O383,0),S383))</f>
        <v>0</v>
      </c>
      <c r="S383" s="11">
        <f t="shared" si="75"/>
        <v>0.0002337817386286467</v>
      </c>
      <c r="U383" s="2">
        <f t="shared" si="70"/>
        <v>102</v>
      </c>
      <c r="V383" s="2">
        <f t="shared" si="71"/>
        <v>1224</v>
      </c>
      <c r="W383" s="2">
        <f t="shared" si="72"/>
        <v>68</v>
      </c>
    </row>
    <row r="384" spans="1:23" ht="12.75">
      <c r="A384">
        <v>1</v>
      </c>
      <c r="B384">
        <v>380</v>
      </c>
      <c r="C384" s="2">
        <f t="shared" si="76"/>
        <v>100.61538461538461</v>
      </c>
      <c r="D384" s="2">
        <f t="shared" si="77"/>
        <v>1.3846153846153846</v>
      </c>
      <c r="E384" s="2">
        <f t="shared" si="78"/>
        <v>10.061538461538461</v>
      </c>
      <c r="F384" s="2">
        <f t="shared" si="79"/>
        <v>0.13846153846153847</v>
      </c>
      <c r="G384" s="9">
        <f>_XLL.RISKOUTPUT(,"Contaminated food products during a shift",381)+D384/(C384+D384)</f>
        <v>0.013574660633484163</v>
      </c>
      <c r="H384" s="2">
        <f>IF(C384&lt;1,0,_XLL.RISKBINOMIAL(ROUND(C384,0),I384))</f>
        <v>0</v>
      </c>
      <c r="I384" s="8">
        <f t="shared" si="80"/>
        <v>5.569062148913506E-05</v>
      </c>
      <c r="J384" s="2">
        <f t="shared" si="73"/>
        <v>1220.7418090519864</v>
      </c>
      <c r="K384" s="2">
        <f t="shared" si="74"/>
        <v>3.2581909480136027</v>
      </c>
      <c r="L384" s="10">
        <f>_XLL.RISKOUTPUT(,"Contaminated food contact surfaces during a shift",381)+K384/(J384+K384)</f>
        <v>0.00266192070916144</v>
      </c>
      <c r="M384" s="2">
        <f>IF(J384&lt;1,0,_XLL.RISKBINOMIAL(ROUND(J384,0),N384))</f>
        <v>0</v>
      </c>
      <c r="N384" s="11">
        <f t="shared" si="81"/>
        <v>1.3308466217609727E-05</v>
      </c>
      <c r="O384" s="2">
        <f t="shared" si="82"/>
        <v>68</v>
      </c>
      <c r="P384" s="2">
        <f t="shared" si="83"/>
        <v>0</v>
      </c>
      <c r="Q384" s="10">
        <f>_XLL.RISKOUTPUT(,"Contaminated gloves during a shift",381)+P384/(O384+P384)</f>
        <v>0</v>
      </c>
      <c r="R384" s="2">
        <f>IF(O384&lt;1,0,_XLL.RISKBINOMIAL(ROUND(O384,0),S384))</f>
        <v>0</v>
      </c>
      <c r="S384" s="11">
        <f t="shared" si="75"/>
        <v>0.0002337817386286467</v>
      </c>
      <c r="U384" s="2">
        <f t="shared" si="70"/>
        <v>102</v>
      </c>
      <c r="V384" s="2">
        <f t="shared" si="71"/>
        <v>1224</v>
      </c>
      <c r="W384" s="2">
        <f t="shared" si="72"/>
        <v>68</v>
      </c>
    </row>
    <row r="385" spans="1:23" ht="12.75">
      <c r="A385">
        <v>1</v>
      </c>
      <c r="B385">
        <v>381</v>
      </c>
      <c r="C385" s="2">
        <f t="shared" si="76"/>
        <v>100.61538461538461</v>
      </c>
      <c r="D385" s="2">
        <f t="shared" si="77"/>
        <v>1.3846153846153846</v>
      </c>
      <c r="E385" s="2">
        <f t="shared" si="78"/>
        <v>10.061538461538461</v>
      </c>
      <c r="F385" s="2">
        <f t="shared" si="79"/>
        <v>0.13846153846153847</v>
      </c>
      <c r="G385" s="9">
        <f>_XLL.RISKOUTPUT(,"Contaminated food products during a shift",382)+D385/(C385+D385)</f>
        <v>0.013574660633484163</v>
      </c>
      <c r="H385" s="2">
        <f>IF(C385&lt;1,0,_XLL.RISKBINOMIAL(ROUND(C385,0),I385))</f>
        <v>0</v>
      </c>
      <c r="I385" s="8">
        <f t="shared" si="80"/>
        <v>5.569062148913506E-05</v>
      </c>
      <c r="J385" s="2">
        <f t="shared" si="73"/>
        <v>1220.7418090519864</v>
      </c>
      <c r="K385" s="2">
        <f t="shared" si="74"/>
        <v>3.2581909480136027</v>
      </c>
      <c r="L385" s="10">
        <f>_XLL.RISKOUTPUT(,"Contaminated food contact surfaces during a shift",382)+K385/(J385+K385)</f>
        <v>0.00266192070916144</v>
      </c>
      <c r="M385" s="2">
        <f>IF(J385&lt;1,0,_XLL.RISKBINOMIAL(ROUND(J385,0),N385))</f>
        <v>0</v>
      </c>
      <c r="N385" s="11">
        <f t="shared" si="81"/>
        <v>1.3308466217609727E-05</v>
      </c>
      <c r="O385" s="2">
        <f t="shared" si="82"/>
        <v>68</v>
      </c>
      <c r="P385" s="2">
        <f t="shared" si="83"/>
        <v>0</v>
      </c>
      <c r="Q385" s="10">
        <f>_XLL.RISKOUTPUT(,"Contaminated gloves during a shift",382)+P385/(O385+P385)</f>
        <v>0</v>
      </c>
      <c r="R385" s="2">
        <f>IF(O385&lt;1,0,_XLL.RISKBINOMIAL(ROUND(O385,0),S385))</f>
        <v>0</v>
      </c>
      <c r="S385" s="11">
        <f t="shared" si="75"/>
        <v>0.0002337817386286467</v>
      </c>
      <c r="U385" s="2">
        <f t="shared" si="70"/>
        <v>102</v>
      </c>
      <c r="V385" s="2">
        <f t="shared" si="71"/>
        <v>1224</v>
      </c>
      <c r="W385" s="2">
        <f t="shared" si="72"/>
        <v>68</v>
      </c>
    </row>
    <row r="386" spans="1:23" ht="12.75">
      <c r="A386">
        <v>1</v>
      </c>
      <c r="B386">
        <v>382</v>
      </c>
      <c r="C386" s="2">
        <f t="shared" si="76"/>
        <v>100.61538461538461</v>
      </c>
      <c r="D386" s="2">
        <f t="shared" si="77"/>
        <v>1.3846153846153846</v>
      </c>
      <c r="E386" s="2">
        <f t="shared" si="78"/>
        <v>10.061538461538461</v>
      </c>
      <c r="F386" s="2">
        <f t="shared" si="79"/>
        <v>0.13846153846153847</v>
      </c>
      <c r="G386" s="9">
        <f>_XLL.RISKOUTPUT(,"Contaminated food products during a shift",383)+D386/(C386+D386)</f>
        <v>0.013574660633484163</v>
      </c>
      <c r="H386" s="2">
        <f>IF(C386&lt;1,0,_XLL.RISKBINOMIAL(ROUND(C386,0),I386))</f>
        <v>0</v>
      </c>
      <c r="I386" s="8">
        <f t="shared" si="80"/>
        <v>5.569062148913506E-05</v>
      </c>
      <c r="J386" s="2">
        <f t="shared" si="73"/>
        <v>1220.7418090519864</v>
      </c>
      <c r="K386" s="2">
        <f t="shared" si="74"/>
        <v>3.2581909480136027</v>
      </c>
      <c r="L386" s="10">
        <f>_XLL.RISKOUTPUT(,"Contaminated food contact surfaces during a shift",383)+K386/(J386+K386)</f>
        <v>0.00266192070916144</v>
      </c>
      <c r="M386" s="2">
        <f>IF(J386&lt;1,0,_XLL.RISKBINOMIAL(ROUND(J386,0),N386))</f>
        <v>0</v>
      </c>
      <c r="N386" s="11">
        <f t="shared" si="81"/>
        <v>1.3308466217609727E-05</v>
      </c>
      <c r="O386" s="2">
        <f t="shared" si="82"/>
        <v>68</v>
      </c>
      <c r="P386" s="2">
        <f t="shared" si="83"/>
        <v>0</v>
      </c>
      <c r="Q386" s="10">
        <f>_XLL.RISKOUTPUT(,"Contaminated gloves during a shift",383)+P386/(O386+P386)</f>
        <v>0</v>
      </c>
      <c r="R386" s="2">
        <f>IF(O386&lt;1,0,_XLL.RISKBINOMIAL(ROUND(O386,0),S386))</f>
        <v>0</v>
      </c>
      <c r="S386" s="11">
        <f t="shared" si="75"/>
        <v>0.0002337817386286467</v>
      </c>
      <c r="U386" s="2">
        <f t="shared" si="70"/>
        <v>102</v>
      </c>
      <c r="V386" s="2">
        <f t="shared" si="71"/>
        <v>1224</v>
      </c>
      <c r="W386" s="2">
        <f t="shared" si="72"/>
        <v>68</v>
      </c>
    </row>
    <row r="387" spans="1:23" ht="12.75">
      <c r="A387">
        <v>1</v>
      </c>
      <c r="B387">
        <v>383</v>
      </c>
      <c r="C387" s="2">
        <f t="shared" si="76"/>
        <v>100.61538461538461</v>
      </c>
      <c r="D387" s="2">
        <f t="shared" si="77"/>
        <v>1.3846153846153846</v>
      </c>
      <c r="E387" s="2">
        <f t="shared" si="78"/>
        <v>10.061538461538461</v>
      </c>
      <c r="F387" s="2">
        <f t="shared" si="79"/>
        <v>0.13846153846153847</v>
      </c>
      <c r="G387" s="9">
        <f>_XLL.RISKOUTPUT(,"Contaminated food products during a shift",384)+D387/(C387+D387)</f>
        <v>0.013574660633484163</v>
      </c>
      <c r="H387" s="2">
        <f>IF(C387&lt;1,0,_XLL.RISKBINOMIAL(ROUND(C387,0),I387))</f>
        <v>0</v>
      </c>
      <c r="I387" s="8">
        <f t="shared" si="80"/>
        <v>5.569062148913506E-05</v>
      </c>
      <c r="J387" s="2">
        <f t="shared" si="73"/>
        <v>1220.7418090519864</v>
      </c>
      <c r="K387" s="2">
        <f t="shared" si="74"/>
        <v>3.2581909480136027</v>
      </c>
      <c r="L387" s="10">
        <f>_XLL.RISKOUTPUT(,"Contaminated food contact surfaces during a shift",384)+K387/(J387+K387)</f>
        <v>0.00266192070916144</v>
      </c>
      <c r="M387" s="2">
        <f>IF(J387&lt;1,0,_XLL.RISKBINOMIAL(ROUND(J387,0),N387))</f>
        <v>0</v>
      </c>
      <c r="N387" s="11">
        <f t="shared" si="81"/>
        <v>1.3308466217609727E-05</v>
      </c>
      <c r="O387" s="2">
        <f t="shared" si="82"/>
        <v>68</v>
      </c>
      <c r="P387" s="2">
        <f t="shared" si="83"/>
        <v>0</v>
      </c>
      <c r="Q387" s="10">
        <f>_XLL.RISKOUTPUT(,"Contaminated gloves during a shift",384)+P387/(O387+P387)</f>
        <v>0</v>
      </c>
      <c r="R387" s="2">
        <f>IF(O387&lt;1,0,_XLL.RISKBINOMIAL(ROUND(O387,0),S387))</f>
        <v>0</v>
      </c>
      <c r="S387" s="11">
        <f t="shared" si="75"/>
        <v>0.0002337817386286467</v>
      </c>
      <c r="U387" s="2">
        <f t="shared" si="70"/>
        <v>102</v>
      </c>
      <c r="V387" s="2">
        <f t="shared" si="71"/>
        <v>1224</v>
      </c>
      <c r="W387" s="2">
        <f t="shared" si="72"/>
        <v>68</v>
      </c>
    </row>
    <row r="388" spans="1:23" ht="12.75">
      <c r="A388">
        <v>1</v>
      </c>
      <c r="B388">
        <v>384</v>
      </c>
      <c r="C388" s="2">
        <f t="shared" si="76"/>
        <v>100.61538461538461</v>
      </c>
      <c r="D388" s="2">
        <f t="shared" si="77"/>
        <v>1.3846153846153846</v>
      </c>
      <c r="E388" s="2">
        <f t="shared" si="78"/>
        <v>10.061538461538461</v>
      </c>
      <c r="F388" s="2">
        <f t="shared" si="79"/>
        <v>0.13846153846153847</v>
      </c>
      <c r="G388" s="9">
        <f>_XLL.RISKOUTPUT(,"Contaminated food products during a shift",385)+D388/(C388+D388)</f>
        <v>0.013574660633484163</v>
      </c>
      <c r="H388" s="2">
        <f>IF(C388&lt;1,0,_XLL.RISKBINOMIAL(ROUND(C388,0),I388))</f>
        <v>0</v>
      </c>
      <c r="I388" s="8">
        <f t="shared" si="80"/>
        <v>5.569062148913506E-05</v>
      </c>
      <c r="J388" s="2">
        <f t="shared" si="73"/>
        <v>1220.7418090519864</v>
      </c>
      <c r="K388" s="2">
        <f t="shared" si="74"/>
        <v>3.2581909480136027</v>
      </c>
      <c r="L388" s="10">
        <f>_XLL.RISKOUTPUT(,"Contaminated food contact surfaces during a shift",385)+K388/(J388+K388)</f>
        <v>0.00266192070916144</v>
      </c>
      <c r="M388" s="2">
        <f>IF(J388&lt;1,0,_XLL.RISKBINOMIAL(ROUND(J388,0),N388))</f>
        <v>0</v>
      </c>
      <c r="N388" s="11">
        <f t="shared" si="81"/>
        <v>1.3308466217609727E-05</v>
      </c>
      <c r="O388" s="2">
        <f t="shared" si="82"/>
        <v>68</v>
      </c>
      <c r="P388" s="2">
        <f t="shared" si="83"/>
        <v>0</v>
      </c>
      <c r="Q388" s="10">
        <f>_XLL.RISKOUTPUT(,"Contaminated gloves during a shift",385)+P388/(O388+P388)</f>
        <v>0</v>
      </c>
      <c r="R388" s="2">
        <f>IF(O388&lt;1,0,_XLL.RISKBINOMIAL(ROUND(O388,0),S388))</f>
        <v>0</v>
      </c>
      <c r="S388" s="11">
        <f t="shared" si="75"/>
        <v>0.0002337817386286467</v>
      </c>
      <c r="U388" s="2">
        <f aca="true" t="shared" si="84" ref="U388:U424">C388+D388</f>
        <v>102</v>
      </c>
      <c r="V388" s="2">
        <f aca="true" t="shared" si="85" ref="V388:V424">J388+K388</f>
        <v>1224</v>
      </c>
      <c r="W388" s="2">
        <f aca="true" t="shared" si="86" ref="W388:W424">O388+P388</f>
        <v>68</v>
      </c>
    </row>
    <row r="389" spans="1:23" ht="12.75">
      <c r="A389">
        <v>1</v>
      </c>
      <c r="B389">
        <v>385</v>
      </c>
      <c r="C389" s="2">
        <f t="shared" si="76"/>
        <v>100.61538461538461</v>
      </c>
      <c r="D389" s="2">
        <f t="shared" si="77"/>
        <v>1.3846153846153846</v>
      </c>
      <c r="E389" s="2">
        <f t="shared" si="78"/>
        <v>10.061538461538461</v>
      </c>
      <c r="F389" s="2">
        <f t="shared" si="79"/>
        <v>0.13846153846153847</v>
      </c>
      <c r="G389" s="9">
        <f>_XLL.RISKOUTPUT(,"Contaminated food products during a shift",386)+D389/(C389+D389)</f>
        <v>0.013574660633484163</v>
      </c>
      <c r="H389" s="2">
        <f>IF(C389&lt;1,0,_XLL.RISKBINOMIAL(ROUND(C389,0),I389))</f>
        <v>0</v>
      </c>
      <c r="I389" s="8">
        <f t="shared" si="80"/>
        <v>5.569062148913506E-05</v>
      </c>
      <c r="J389" s="2">
        <f aca="true" t="shared" si="87" ref="J389:J424">IF(J388-M388+K388*(1-A389)&lt;0,0,J388-M388+K388*(1-A389))</f>
        <v>1220.7418090519864</v>
      </c>
      <c r="K389" s="2">
        <f aca="true" t="shared" si="88" ref="K389:K424">IF(K388+M388-K388*(1-A389)&lt;0,0,K388+M388-K388*(1-A389))</f>
        <v>3.2581909480136027</v>
      </c>
      <c r="L389" s="10">
        <f>_XLL.RISKOUTPUT(,"Contaminated food contact surfaces during a shift",386)+K389/(J389+K389)</f>
        <v>0.00266192070916144</v>
      </c>
      <c r="M389" s="2">
        <f>IF(J389&lt;1,0,_XLL.RISKBINOMIAL(ROUND(J389,0),N389))</f>
        <v>0</v>
      </c>
      <c r="N389" s="11">
        <f t="shared" si="81"/>
        <v>1.3308466217609727E-05</v>
      </c>
      <c r="O389" s="2">
        <f t="shared" si="82"/>
        <v>68</v>
      </c>
      <c r="P389" s="2">
        <f t="shared" si="83"/>
        <v>0</v>
      </c>
      <c r="Q389" s="10">
        <f>_XLL.RISKOUTPUT(,"Contaminated gloves during a shift",386)+P389/(O389+P389)</f>
        <v>0</v>
      </c>
      <c r="R389" s="2">
        <f>IF(O389&lt;1,0,_XLL.RISKBINOMIAL(ROUND(O389,0),S389))</f>
        <v>0</v>
      </c>
      <c r="S389" s="11">
        <f aca="true" t="shared" si="89" ref="S389:S424">(1-((1-p_FP_G)^(D389)*(1-p_FCS_G)^(K389)*(1-p_G_E)^(pE*nE)))</f>
        <v>0.0002337817386286467</v>
      </c>
      <c r="U389" s="2">
        <f t="shared" si="84"/>
        <v>102</v>
      </c>
      <c r="V389" s="2">
        <f t="shared" si="85"/>
        <v>1224</v>
      </c>
      <c r="W389" s="2">
        <f t="shared" si="86"/>
        <v>68</v>
      </c>
    </row>
    <row r="390" spans="1:23" ht="12.75">
      <c r="A390">
        <v>1</v>
      </c>
      <c r="B390">
        <v>386</v>
      </c>
      <c r="C390" s="2">
        <f aca="true" t="shared" si="90" ref="C390:C424">IF(C389-H389-pr*C389+nFP*pr*(1-pFP)&lt;0,0,C389-H389-pr*C389+nFP*pr*(1-pFP))</f>
        <v>100.61538461538461</v>
      </c>
      <c r="D390" s="2">
        <f aca="true" t="shared" si="91" ref="D390:D424">IF(D389+H389+pr*nFP*pFP-D389*pr&lt;0,0,D389+H389+pr*nFP*pFP-D389*pr)</f>
        <v>1.3846153846153846</v>
      </c>
      <c r="E390" s="2">
        <f aca="true" t="shared" si="92" ref="E390:E424">C390*pr</f>
        <v>10.061538461538461</v>
      </c>
      <c r="F390" s="2">
        <f aca="true" t="shared" si="93" ref="F390:F424">D390*pr</f>
        <v>0.13846153846153847</v>
      </c>
      <c r="G390" s="9">
        <f>_XLL.RISKOUTPUT(,"Contaminated food products during a shift",387)+D390/(C390+D390)</f>
        <v>0.013574660633484163</v>
      </c>
      <c r="H390" s="2">
        <f>IF(C390&lt;1,0,_XLL.RISKBINOMIAL(ROUND(C390,0),I390))</f>
        <v>0</v>
      </c>
      <c r="I390" s="8">
        <f aca="true" t="shared" si="94" ref="I390:I424">(1-((1-p_FCS_FP)^(K390))*((1-p_G_FP)^(P390))*((1-p_FP_FP)^(D390)))</f>
        <v>5.569062148913506E-05</v>
      </c>
      <c r="J390" s="2">
        <f t="shared" si="87"/>
        <v>1220.7418090519864</v>
      </c>
      <c r="K390" s="2">
        <f t="shared" si="88"/>
        <v>3.2581909480136027</v>
      </c>
      <c r="L390" s="10">
        <f>_XLL.RISKOUTPUT(,"Contaminated food contact surfaces during a shift",387)+K390/(J390+K390)</f>
        <v>0.00266192070916144</v>
      </c>
      <c r="M390" s="2">
        <f>IF(J390&lt;1,0,_XLL.RISKBINOMIAL(ROUND(J390,0),N390))</f>
        <v>0</v>
      </c>
      <c r="N390" s="11">
        <f aca="true" t="shared" si="95" ref="N390:N424">(1-((1-p_FP_FCS)^(D390))*((1-p_G_FCS)^(P390)))</f>
        <v>1.3308466217609727E-05</v>
      </c>
      <c r="O390" s="2">
        <f aca="true" t="shared" si="96" ref="O390:O424">IF(O389-R389+nG*G_h-O389*G_h&lt;0,0,O389-R389+nG*G_h-O389*G_h)</f>
        <v>68</v>
      </c>
      <c r="P390" s="2">
        <f aca="true" t="shared" si="97" ref="P390:P424">IF(P389+R389-P389*G_h&lt;0,0,P389+R389-P389*G_h)</f>
        <v>0</v>
      </c>
      <c r="Q390" s="10">
        <f>_XLL.RISKOUTPUT(,"Contaminated gloves during a shift",387)+P390/(O390+P390)</f>
        <v>0</v>
      </c>
      <c r="R390" s="2">
        <f>IF(O390&lt;1,0,_XLL.RISKBINOMIAL(ROUND(O390,0),S390))</f>
        <v>0</v>
      </c>
      <c r="S390" s="11">
        <f t="shared" si="89"/>
        <v>0.0002337817386286467</v>
      </c>
      <c r="U390" s="2">
        <f t="shared" si="84"/>
        <v>102</v>
      </c>
      <c r="V390" s="2">
        <f t="shared" si="85"/>
        <v>1224</v>
      </c>
      <c r="W390" s="2">
        <f t="shared" si="86"/>
        <v>68</v>
      </c>
    </row>
    <row r="391" spans="1:23" ht="12.75">
      <c r="A391">
        <v>1</v>
      </c>
      <c r="B391">
        <v>387</v>
      </c>
      <c r="C391" s="2">
        <f t="shared" si="90"/>
        <v>100.61538461538461</v>
      </c>
      <c r="D391" s="2">
        <f t="shared" si="91"/>
        <v>1.3846153846153846</v>
      </c>
      <c r="E391" s="2">
        <f t="shared" si="92"/>
        <v>10.061538461538461</v>
      </c>
      <c r="F391" s="2">
        <f t="shared" si="93"/>
        <v>0.13846153846153847</v>
      </c>
      <c r="G391" s="9">
        <f>_XLL.RISKOUTPUT(,"Contaminated food products during a shift",388)+D391/(C391+D391)</f>
        <v>0.013574660633484163</v>
      </c>
      <c r="H391" s="2">
        <f>IF(C391&lt;1,0,_XLL.RISKBINOMIAL(ROUND(C391,0),I391))</f>
        <v>0</v>
      </c>
      <c r="I391" s="8">
        <f t="shared" si="94"/>
        <v>5.569062148913506E-05</v>
      </c>
      <c r="J391" s="2">
        <f t="shared" si="87"/>
        <v>1220.7418090519864</v>
      </c>
      <c r="K391" s="2">
        <f t="shared" si="88"/>
        <v>3.2581909480136027</v>
      </c>
      <c r="L391" s="10">
        <f>_XLL.RISKOUTPUT(,"Contaminated food contact surfaces during a shift",388)+K391/(J391+K391)</f>
        <v>0.00266192070916144</v>
      </c>
      <c r="M391" s="2">
        <f>IF(J391&lt;1,0,_XLL.RISKBINOMIAL(ROUND(J391,0),N391))</f>
        <v>0</v>
      </c>
      <c r="N391" s="11">
        <f t="shared" si="95"/>
        <v>1.3308466217609727E-05</v>
      </c>
      <c r="O391" s="2">
        <f t="shared" si="96"/>
        <v>68</v>
      </c>
      <c r="P391" s="2">
        <f t="shared" si="97"/>
        <v>0</v>
      </c>
      <c r="Q391" s="10">
        <f>_XLL.RISKOUTPUT(,"Contaminated gloves during a shift",388)+P391/(O391+P391)</f>
        <v>0</v>
      </c>
      <c r="R391" s="2">
        <f>IF(O391&lt;1,0,_XLL.RISKBINOMIAL(ROUND(O391,0),S391))</f>
        <v>0</v>
      </c>
      <c r="S391" s="11">
        <f t="shared" si="89"/>
        <v>0.0002337817386286467</v>
      </c>
      <c r="U391" s="2">
        <f t="shared" si="84"/>
        <v>102</v>
      </c>
      <c r="V391" s="2">
        <f t="shared" si="85"/>
        <v>1224</v>
      </c>
      <c r="W391" s="2">
        <f t="shared" si="86"/>
        <v>68</v>
      </c>
    </row>
    <row r="392" spans="1:23" ht="12.75">
      <c r="A392">
        <v>1</v>
      </c>
      <c r="B392">
        <v>388</v>
      </c>
      <c r="C392" s="2">
        <f t="shared" si="90"/>
        <v>100.61538461538461</v>
      </c>
      <c r="D392" s="2">
        <f t="shared" si="91"/>
        <v>1.3846153846153846</v>
      </c>
      <c r="E392" s="2">
        <f t="shared" si="92"/>
        <v>10.061538461538461</v>
      </c>
      <c r="F392" s="2">
        <f t="shared" si="93"/>
        <v>0.13846153846153847</v>
      </c>
      <c r="G392" s="9">
        <f>_XLL.RISKOUTPUT(,"Contaminated food products during a shift",389)+D392/(C392+D392)</f>
        <v>0.013574660633484163</v>
      </c>
      <c r="H392" s="2">
        <f>IF(C392&lt;1,0,_XLL.RISKBINOMIAL(ROUND(C392,0),I392))</f>
        <v>0</v>
      </c>
      <c r="I392" s="8">
        <f t="shared" si="94"/>
        <v>5.569062148913506E-05</v>
      </c>
      <c r="J392" s="2">
        <f t="shared" si="87"/>
        <v>1220.7418090519864</v>
      </c>
      <c r="K392" s="2">
        <f t="shared" si="88"/>
        <v>3.2581909480136027</v>
      </c>
      <c r="L392" s="10">
        <f>_XLL.RISKOUTPUT(,"Contaminated food contact surfaces during a shift",389)+K392/(J392+K392)</f>
        <v>0.00266192070916144</v>
      </c>
      <c r="M392" s="2">
        <f>IF(J392&lt;1,0,_XLL.RISKBINOMIAL(ROUND(J392,0),N392))</f>
        <v>0</v>
      </c>
      <c r="N392" s="11">
        <f t="shared" si="95"/>
        <v>1.3308466217609727E-05</v>
      </c>
      <c r="O392" s="2">
        <f t="shared" si="96"/>
        <v>68</v>
      </c>
      <c r="P392" s="2">
        <f t="shared" si="97"/>
        <v>0</v>
      </c>
      <c r="Q392" s="10">
        <f>_XLL.RISKOUTPUT(,"Contaminated gloves during a shift",389)+P392/(O392+P392)</f>
        <v>0</v>
      </c>
      <c r="R392" s="2">
        <f>IF(O392&lt;1,0,_XLL.RISKBINOMIAL(ROUND(O392,0),S392))</f>
        <v>0</v>
      </c>
      <c r="S392" s="11">
        <f t="shared" si="89"/>
        <v>0.0002337817386286467</v>
      </c>
      <c r="U392" s="2">
        <f t="shared" si="84"/>
        <v>102</v>
      </c>
      <c r="V392" s="2">
        <f t="shared" si="85"/>
        <v>1224</v>
      </c>
      <c r="W392" s="2">
        <f t="shared" si="86"/>
        <v>68</v>
      </c>
    </row>
    <row r="393" spans="1:23" ht="12.75">
      <c r="A393">
        <v>1</v>
      </c>
      <c r="B393">
        <v>389</v>
      </c>
      <c r="C393" s="2">
        <f t="shared" si="90"/>
        <v>100.61538461538461</v>
      </c>
      <c r="D393" s="2">
        <f t="shared" si="91"/>
        <v>1.3846153846153846</v>
      </c>
      <c r="E393" s="2">
        <f t="shared" si="92"/>
        <v>10.061538461538461</v>
      </c>
      <c r="F393" s="2">
        <f t="shared" si="93"/>
        <v>0.13846153846153847</v>
      </c>
      <c r="G393" s="9">
        <f>_XLL.RISKOUTPUT(,"Contaminated food products during a shift",390)+D393/(C393+D393)</f>
        <v>0.013574660633484163</v>
      </c>
      <c r="H393" s="2">
        <f>IF(C393&lt;1,0,_XLL.RISKBINOMIAL(ROUND(C393,0),I393))</f>
        <v>0</v>
      </c>
      <c r="I393" s="8">
        <f t="shared" si="94"/>
        <v>5.569062148913506E-05</v>
      </c>
      <c r="J393" s="2">
        <f t="shared" si="87"/>
        <v>1220.7418090519864</v>
      </c>
      <c r="K393" s="2">
        <f t="shared" si="88"/>
        <v>3.2581909480136027</v>
      </c>
      <c r="L393" s="10">
        <f>_XLL.RISKOUTPUT(,"Contaminated food contact surfaces during a shift",390)+K393/(J393+K393)</f>
        <v>0.00266192070916144</v>
      </c>
      <c r="M393" s="2">
        <f>IF(J393&lt;1,0,_XLL.RISKBINOMIAL(ROUND(J393,0),N393))</f>
        <v>0</v>
      </c>
      <c r="N393" s="11">
        <f t="shared" si="95"/>
        <v>1.3308466217609727E-05</v>
      </c>
      <c r="O393" s="2">
        <f t="shared" si="96"/>
        <v>68</v>
      </c>
      <c r="P393" s="2">
        <f t="shared" si="97"/>
        <v>0</v>
      </c>
      <c r="Q393" s="10">
        <f>_XLL.RISKOUTPUT(,"Contaminated gloves during a shift",390)+P393/(O393+P393)</f>
        <v>0</v>
      </c>
      <c r="R393" s="2">
        <f>IF(O393&lt;1,0,_XLL.RISKBINOMIAL(ROUND(O393,0),S393))</f>
        <v>0</v>
      </c>
      <c r="S393" s="11">
        <f t="shared" si="89"/>
        <v>0.0002337817386286467</v>
      </c>
      <c r="U393" s="2">
        <f t="shared" si="84"/>
        <v>102</v>
      </c>
      <c r="V393" s="2">
        <f t="shared" si="85"/>
        <v>1224</v>
      </c>
      <c r="W393" s="2">
        <f t="shared" si="86"/>
        <v>68</v>
      </c>
    </row>
    <row r="394" spans="1:23" ht="12.75">
      <c r="A394">
        <v>1</v>
      </c>
      <c r="B394">
        <v>390</v>
      </c>
      <c r="C394" s="2">
        <f t="shared" si="90"/>
        <v>100.61538461538461</v>
      </c>
      <c r="D394" s="2">
        <f t="shared" si="91"/>
        <v>1.3846153846153846</v>
      </c>
      <c r="E394" s="2">
        <f t="shared" si="92"/>
        <v>10.061538461538461</v>
      </c>
      <c r="F394" s="2">
        <f t="shared" si="93"/>
        <v>0.13846153846153847</v>
      </c>
      <c r="G394" s="9">
        <f>_XLL.RISKOUTPUT(,"Contaminated food products during a shift",391)+D394/(C394+D394)</f>
        <v>0.013574660633484163</v>
      </c>
      <c r="H394" s="2">
        <f>IF(C394&lt;1,0,_XLL.RISKBINOMIAL(ROUND(C394,0),I394))</f>
        <v>0</v>
      </c>
      <c r="I394" s="8">
        <f t="shared" si="94"/>
        <v>5.569062148913506E-05</v>
      </c>
      <c r="J394" s="2">
        <f t="shared" si="87"/>
        <v>1220.7418090519864</v>
      </c>
      <c r="K394" s="2">
        <f t="shared" si="88"/>
        <v>3.2581909480136027</v>
      </c>
      <c r="L394" s="10">
        <f>_XLL.RISKOUTPUT(,"Contaminated food contact surfaces during a shift",391)+K394/(J394+K394)</f>
        <v>0.00266192070916144</v>
      </c>
      <c r="M394" s="2">
        <f>IF(J394&lt;1,0,_XLL.RISKBINOMIAL(ROUND(J394,0),N394))</f>
        <v>0</v>
      </c>
      <c r="N394" s="11">
        <f t="shared" si="95"/>
        <v>1.3308466217609727E-05</v>
      </c>
      <c r="O394" s="2">
        <f t="shared" si="96"/>
        <v>68</v>
      </c>
      <c r="P394" s="2">
        <f t="shared" si="97"/>
        <v>0</v>
      </c>
      <c r="Q394" s="10">
        <f>_XLL.RISKOUTPUT(,"Contaminated gloves during a shift",391)+P394/(O394+P394)</f>
        <v>0</v>
      </c>
      <c r="R394" s="2">
        <f>IF(O394&lt;1,0,_XLL.RISKBINOMIAL(ROUND(O394,0),S394))</f>
        <v>0</v>
      </c>
      <c r="S394" s="11">
        <f t="shared" si="89"/>
        <v>0.0002337817386286467</v>
      </c>
      <c r="U394" s="2">
        <f t="shared" si="84"/>
        <v>102</v>
      </c>
      <c r="V394" s="2">
        <f t="shared" si="85"/>
        <v>1224</v>
      </c>
      <c r="W394" s="2">
        <f t="shared" si="86"/>
        <v>68</v>
      </c>
    </row>
    <row r="395" spans="1:23" ht="12.75">
      <c r="A395">
        <v>1</v>
      </c>
      <c r="B395">
        <v>391</v>
      </c>
      <c r="C395" s="2">
        <f t="shared" si="90"/>
        <v>100.61538461538461</v>
      </c>
      <c r="D395" s="2">
        <f t="shared" si="91"/>
        <v>1.3846153846153846</v>
      </c>
      <c r="E395" s="2">
        <f t="shared" si="92"/>
        <v>10.061538461538461</v>
      </c>
      <c r="F395" s="2">
        <f t="shared" si="93"/>
        <v>0.13846153846153847</v>
      </c>
      <c r="G395" s="9">
        <f>_XLL.RISKOUTPUT(,"Contaminated food products during a shift",392)+D395/(C395+D395)</f>
        <v>0.013574660633484163</v>
      </c>
      <c r="H395" s="2">
        <f>IF(C395&lt;1,0,_XLL.RISKBINOMIAL(ROUND(C395,0),I395))</f>
        <v>0</v>
      </c>
      <c r="I395" s="8">
        <f t="shared" si="94"/>
        <v>5.569062148913506E-05</v>
      </c>
      <c r="J395" s="2">
        <f t="shared" si="87"/>
        <v>1220.7418090519864</v>
      </c>
      <c r="K395" s="2">
        <f t="shared" si="88"/>
        <v>3.2581909480136027</v>
      </c>
      <c r="L395" s="10">
        <f>_XLL.RISKOUTPUT(,"Contaminated food contact surfaces during a shift",392)+K395/(J395+K395)</f>
        <v>0.00266192070916144</v>
      </c>
      <c r="M395" s="2">
        <f>IF(J395&lt;1,0,_XLL.RISKBINOMIAL(ROUND(J395,0),N395))</f>
        <v>0</v>
      </c>
      <c r="N395" s="11">
        <f t="shared" si="95"/>
        <v>1.3308466217609727E-05</v>
      </c>
      <c r="O395" s="2">
        <f t="shared" si="96"/>
        <v>68</v>
      </c>
      <c r="P395" s="2">
        <f t="shared" si="97"/>
        <v>0</v>
      </c>
      <c r="Q395" s="10">
        <f>_XLL.RISKOUTPUT(,"Contaminated gloves during a shift",392)+P395/(O395+P395)</f>
        <v>0</v>
      </c>
      <c r="R395" s="2">
        <f>IF(O395&lt;1,0,_XLL.RISKBINOMIAL(ROUND(O395,0),S395))</f>
        <v>0</v>
      </c>
      <c r="S395" s="11">
        <f t="shared" si="89"/>
        <v>0.0002337817386286467</v>
      </c>
      <c r="U395" s="2">
        <f t="shared" si="84"/>
        <v>102</v>
      </c>
      <c r="V395" s="2">
        <f t="shared" si="85"/>
        <v>1224</v>
      </c>
      <c r="W395" s="2">
        <f t="shared" si="86"/>
        <v>68</v>
      </c>
    </row>
    <row r="396" spans="1:23" ht="12.75">
      <c r="A396">
        <v>1</v>
      </c>
      <c r="B396">
        <v>392</v>
      </c>
      <c r="C396" s="2">
        <f t="shared" si="90"/>
        <v>100.61538461538461</v>
      </c>
      <c r="D396" s="2">
        <f t="shared" si="91"/>
        <v>1.3846153846153846</v>
      </c>
      <c r="E396" s="2">
        <f t="shared" si="92"/>
        <v>10.061538461538461</v>
      </c>
      <c r="F396" s="2">
        <f t="shared" si="93"/>
        <v>0.13846153846153847</v>
      </c>
      <c r="G396" s="9">
        <f>_XLL.RISKOUTPUT(,"Contaminated food products during a shift",393)+D396/(C396+D396)</f>
        <v>0.013574660633484163</v>
      </c>
      <c r="H396" s="2">
        <f>IF(C396&lt;1,0,_XLL.RISKBINOMIAL(ROUND(C396,0),I396))</f>
        <v>0</v>
      </c>
      <c r="I396" s="8">
        <f t="shared" si="94"/>
        <v>5.569062148913506E-05</v>
      </c>
      <c r="J396" s="2">
        <f t="shared" si="87"/>
        <v>1220.7418090519864</v>
      </c>
      <c r="K396" s="2">
        <f t="shared" si="88"/>
        <v>3.2581909480136027</v>
      </c>
      <c r="L396" s="10">
        <f>_XLL.RISKOUTPUT(,"Contaminated food contact surfaces during a shift",393)+K396/(J396+K396)</f>
        <v>0.00266192070916144</v>
      </c>
      <c r="M396" s="2">
        <f>IF(J396&lt;1,0,_XLL.RISKBINOMIAL(ROUND(J396,0),N396))</f>
        <v>0</v>
      </c>
      <c r="N396" s="11">
        <f t="shared" si="95"/>
        <v>1.3308466217609727E-05</v>
      </c>
      <c r="O396" s="2">
        <f t="shared" si="96"/>
        <v>68</v>
      </c>
      <c r="P396" s="2">
        <f t="shared" si="97"/>
        <v>0</v>
      </c>
      <c r="Q396" s="10">
        <f>_XLL.RISKOUTPUT(,"Contaminated gloves during a shift",393)+P396/(O396+P396)</f>
        <v>0</v>
      </c>
      <c r="R396" s="2">
        <f>IF(O396&lt;1,0,_XLL.RISKBINOMIAL(ROUND(O396,0),S396))</f>
        <v>0</v>
      </c>
      <c r="S396" s="11">
        <f t="shared" si="89"/>
        <v>0.0002337817386286467</v>
      </c>
      <c r="U396" s="2">
        <f t="shared" si="84"/>
        <v>102</v>
      </c>
      <c r="V396" s="2">
        <f t="shared" si="85"/>
        <v>1224</v>
      </c>
      <c r="W396" s="2">
        <f t="shared" si="86"/>
        <v>68</v>
      </c>
    </row>
    <row r="397" spans="1:23" ht="12.75">
      <c r="A397">
        <v>1</v>
      </c>
      <c r="B397">
        <v>393</v>
      </c>
      <c r="C397" s="2">
        <f t="shared" si="90"/>
        <v>100.61538461538461</v>
      </c>
      <c r="D397" s="2">
        <f t="shared" si="91"/>
        <v>1.3846153846153846</v>
      </c>
      <c r="E397" s="2">
        <f t="shared" si="92"/>
        <v>10.061538461538461</v>
      </c>
      <c r="F397" s="2">
        <f t="shared" si="93"/>
        <v>0.13846153846153847</v>
      </c>
      <c r="G397" s="9">
        <f>_XLL.RISKOUTPUT(,"Contaminated food products during a shift",394)+D397/(C397+D397)</f>
        <v>0.013574660633484163</v>
      </c>
      <c r="H397" s="2">
        <f>IF(C397&lt;1,0,_XLL.RISKBINOMIAL(ROUND(C397,0),I397))</f>
        <v>0</v>
      </c>
      <c r="I397" s="8">
        <f t="shared" si="94"/>
        <v>5.569062148913506E-05</v>
      </c>
      <c r="J397" s="2">
        <f t="shared" si="87"/>
        <v>1220.7418090519864</v>
      </c>
      <c r="K397" s="2">
        <f t="shared" si="88"/>
        <v>3.2581909480136027</v>
      </c>
      <c r="L397" s="10">
        <f>_XLL.RISKOUTPUT(,"Contaminated food contact surfaces during a shift",394)+K397/(J397+K397)</f>
        <v>0.00266192070916144</v>
      </c>
      <c r="M397" s="2">
        <f>IF(J397&lt;1,0,_XLL.RISKBINOMIAL(ROUND(J397,0),N397))</f>
        <v>0</v>
      </c>
      <c r="N397" s="11">
        <f t="shared" si="95"/>
        <v>1.3308466217609727E-05</v>
      </c>
      <c r="O397" s="2">
        <f t="shared" si="96"/>
        <v>68</v>
      </c>
      <c r="P397" s="2">
        <f t="shared" si="97"/>
        <v>0</v>
      </c>
      <c r="Q397" s="10">
        <f>_XLL.RISKOUTPUT(,"Contaminated gloves during a shift",394)+P397/(O397+P397)</f>
        <v>0</v>
      </c>
      <c r="R397" s="2">
        <f>IF(O397&lt;1,0,_XLL.RISKBINOMIAL(ROUND(O397,0),S397))</f>
        <v>0</v>
      </c>
      <c r="S397" s="11">
        <f t="shared" si="89"/>
        <v>0.0002337817386286467</v>
      </c>
      <c r="U397" s="2">
        <f t="shared" si="84"/>
        <v>102</v>
      </c>
      <c r="V397" s="2">
        <f t="shared" si="85"/>
        <v>1224</v>
      </c>
      <c r="W397" s="2">
        <f t="shared" si="86"/>
        <v>68</v>
      </c>
    </row>
    <row r="398" spans="1:23" ht="12.75">
      <c r="A398">
        <v>1</v>
      </c>
      <c r="B398">
        <v>394</v>
      </c>
      <c r="C398" s="2">
        <f t="shared" si="90"/>
        <v>100.61538461538461</v>
      </c>
      <c r="D398" s="2">
        <f t="shared" si="91"/>
        <v>1.3846153846153846</v>
      </c>
      <c r="E398" s="2">
        <f t="shared" si="92"/>
        <v>10.061538461538461</v>
      </c>
      <c r="F398" s="2">
        <f t="shared" si="93"/>
        <v>0.13846153846153847</v>
      </c>
      <c r="G398" s="9">
        <f>_XLL.RISKOUTPUT(,"Contaminated food products during a shift",395)+D398/(C398+D398)</f>
        <v>0.013574660633484163</v>
      </c>
      <c r="H398" s="2">
        <f>IF(C398&lt;1,0,_XLL.RISKBINOMIAL(ROUND(C398,0),I398))</f>
        <v>0</v>
      </c>
      <c r="I398" s="8">
        <f t="shared" si="94"/>
        <v>5.569062148913506E-05</v>
      </c>
      <c r="J398" s="2">
        <f t="shared" si="87"/>
        <v>1220.7418090519864</v>
      </c>
      <c r="K398" s="2">
        <f t="shared" si="88"/>
        <v>3.2581909480136027</v>
      </c>
      <c r="L398" s="10">
        <f>_XLL.RISKOUTPUT(,"Contaminated food contact surfaces during a shift",395)+K398/(J398+K398)</f>
        <v>0.00266192070916144</v>
      </c>
      <c r="M398" s="2">
        <f>IF(J398&lt;1,0,_XLL.RISKBINOMIAL(ROUND(J398,0),N398))</f>
        <v>0</v>
      </c>
      <c r="N398" s="11">
        <f t="shared" si="95"/>
        <v>1.3308466217609727E-05</v>
      </c>
      <c r="O398" s="2">
        <f t="shared" si="96"/>
        <v>68</v>
      </c>
      <c r="P398" s="2">
        <f t="shared" si="97"/>
        <v>0</v>
      </c>
      <c r="Q398" s="10">
        <f>_XLL.RISKOUTPUT(,"Contaminated gloves during a shift",395)+P398/(O398+P398)</f>
        <v>0</v>
      </c>
      <c r="R398" s="2">
        <f>IF(O398&lt;1,0,_XLL.RISKBINOMIAL(ROUND(O398,0),S398))</f>
        <v>0</v>
      </c>
      <c r="S398" s="11">
        <f t="shared" si="89"/>
        <v>0.0002337817386286467</v>
      </c>
      <c r="U398" s="2">
        <f t="shared" si="84"/>
        <v>102</v>
      </c>
      <c r="V398" s="2">
        <f t="shared" si="85"/>
        <v>1224</v>
      </c>
      <c r="W398" s="2">
        <f t="shared" si="86"/>
        <v>68</v>
      </c>
    </row>
    <row r="399" spans="1:23" ht="12.75">
      <c r="A399">
        <v>1</v>
      </c>
      <c r="B399">
        <v>395</v>
      </c>
      <c r="C399" s="2">
        <f t="shared" si="90"/>
        <v>100.61538461538461</v>
      </c>
      <c r="D399" s="2">
        <f t="shared" si="91"/>
        <v>1.3846153846153846</v>
      </c>
      <c r="E399" s="2">
        <f t="shared" si="92"/>
        <v>10.061538461538461</v>
      </c>
      <c r="F399" s="2">
        <f t="shared" si="93"/>
        <v>0.13846153846153847</v>
      </c>
      <c r="G399" s="9">
        <f>_XLL.RISKOUTPUT(,"Contaminated food products during a shift",396)+D399/(C399+D399)</f>
        <v>0.013574660633484163</v>
      </c>
      <c r="H399" s="2">
        <f>IF(C399&lt;1,0,_XLL.RISKBINOMIAL(ROUND(C399,0),I399))</f>
        <v>0</v>
      </c>
      <c r="I399" s="8">
        <f t="shared" si="94"/>
        <v>5.569062148913506E-05</v>
      </c>
      <c r="J399" s="2">
        <f t="shared" si="87"/>
        <v>1220.7418090519864</v>
      </c>
      <c r="K399" s="2">
        <f t="shared" si="88"/>
        <v>3.2581909480136027</v>
      </c>
      <c r="L399" s="10">
        <f>_XLL.RISKOUTPUT(,"Contaminated food contact surfaces during a shift",396)+K399/(J399+K399)</f>
        <v>0.00266192070916144</v>
      </c>
      <c r="M399" s="2">
        <f>IF(J399&lt;1,0,_XLL.RISKBINOMIAL(ROUND(J399,0),N399))</f>
        <v>0</v>
      </c>
      <c r="N399" s="11">
        <f t="shared" si="95"/>
        <v>1.3308466217609727E-05</v>
      </c>
      <c r="O399" s="2">
        <f t="shared" si="96"/>
        <v>68</v>
      </c>
      <c r="P399" s="2">
        <f t="shared" si="97"/>
        <v>0</v>
      </c>
      <c r="Q399" s="10">
        <f>_XLL.RISKOUTPUT(,"Contaminated gloves during a shift",396)+P399/(O399+P399)</f>
        <v>0</v>
      </c>
      <c r="R399" s="2">
        <f>IF(O399&lt;1,0,_XLL.RISKBINOMIAL(ROUND(O399,0),S399))</f>
        <v>0</v>
      </c>
      <c r="S399" s="11">
        <f t="shared" si="89"/>
        <v>0.0002337817386286467</v>
      </c>
      <c r="U399" s="2">
        <f t="shared" si="84"/>
        <v>102</v>
      </c>
      <c r="V399" s="2">
        <f t="shared" si="85"/>
        <v>1224</v>
      </c>
      <c r="W399" s="2">
        <f t="shared" si="86"/>
        <v>68</v>
      </c>
    </row>
    <row r="400" spans="1:23" ht="12.75">
      <c r="A400">
        <v>1</v>
      </c>
      <c r="B400">
        <v>396</v>
      </c>
      <c r="C400" s="2">
        <f t="shared" si="90"/>
        <v>100.61538461538461</v>
      </c>
      <c r="D400" s="2">
        <f t="shared" si="91"/>
        <v>1.3846153846153846</v>
      </c>
      <c r="E400" s="2">
        <f t="shared" si="92"/>
        <v>10.061538461538461</v>
      </c>
      <c r="F400" s="2">
        <f t="shared" si="93"/>
        <v>0.13846153846153847</v>
      </c>
      <c r="G400" s="9">
        <f>_XLL.RISKOUTPUT(,"Contaminated food products during a shift",397)+D400/(C400+D400)</f>
        <v>0.013574660633484163</v>
      </c>
      <c r="H400" s="2">
        <f>IF(C400&lt;1,0,_XLL.RISKBINOMIAL(ROUND(C400,0),I400))</f>
        <v>0</v>
      </c>
      <c r="I400" s="8">
        <f t="shared" si="94"/>
        <v>5.569062148913506E-05</v>
      </c>
      <c r="J400" s="2">
        <f t="shared" si="87"/>
        <v>1220.7418090519864</v>
      </c>
      <c r="K400" s="2">
        <f t="shared" si="88"/>
        <v>3.2581909480136027</v>
      </c>
      <c r="L400" s="10">
        <f>_XLL.RISKOUTPUT(,"Contaminated food contact surfaces during a shift",397)+K400/(J400+K400)</f>
        <v>0.00266192070916144</v>
      </c>
      <c r="M400" s="2">
        <f>IF(J400&lt;1,0,_XLL.RISKBINOMIAL(ROUND(J400,0),N400))</f>
        <v>0</v>
      </c>
      <c r="N400" s="11">
        <f t="shared" si="95"/>
        <v>1.3308466217609727E-05</v>
      </c>
      <c r="O400" s="2">
        <f t="shared" si="96"/>
        <v>68</v>
      </c>
      <c r="P400" s="2">
        <f t="shared" si="97"/>
        <v>0</v>
      </c>
      <c r="Q400" s="10">
        <f>_XLL.RISKOUTPUT(,"Contaminated gloves during a shift",397)+P400/(O400+P400)</f>
        <v>0</v>
      </c>
      <c r="R400" s="2">
        <f>IF(O400&lt;1,0,_XLL.RISKBINOMIAL(ROUND(O400,0),S400))</f>
        <v>0</v>
      </c>
      <c r="S400" s="11">
        <f t="shared" si="89"/>
        <v>0.0002337817386286467</v>
      </c>
      <c r="U400" s="2">
        <f t="shared" si="84"/>
        <v>102</v>
      </c>
      <c r="V400" s="2">
        <f t="shared" si="85"/>
        <v>1224</v>
      </c>
      <c r="W400" s="2">
        <f t="shared" si="86"/>
        <v>68</v>
      </c>
    </row>
    <row r="401" spans="1:23" ht="12.75">
      <c r="A401">
        <v>1</v>
      </c>
      <c r="B401">
        <v>397</v>
      </c>
      <c r="C401" s="2">
        <f t="shared" si="90"/>
        <v>100.61538461538461</v>
      </c>
      <c r="D401" s="2">
        <f t="shared" si="91"/>
        <v>1.3846153846153846</v>
      </c>
      <c r="E401" s="2">
        <f t="shared" si="92"/>
        <v>10.061538461538461</v>
      </c>
      <c r="F401" s="2">
        <f t="shared" si="93"/>
        <v>0.13846153846153847</v>
      </c>
      <c r="G401" s="9">
        <f>_XLL.RISKOUTPUT(,"Contaminated food products during a shift",398)+D401/(C401+D401)</f>
        <v>0.013574660633484163</v>
      </c>
      <c r="H401" s="2">
        <f>IF(C401&lt;1,0,_XLL.RISKBINOMIAL(ROUND(C401,0),I401))</f>
        <v>0</v>
      </c>
      <c r="I401" s="8">
        <f t="shared" si="94"/>
        <v>5.569062148913506E-05</v>
      </c>
      <c r="J401" s="2">
        <f t="shared" si="87"/>
        <v>1220.7418090519864</v>
      </c>
      <c r="K401" s="2">
        <f t="shared" si="88"/>
        <v>3.2581909480136027</v>
      </c>
      <c r="L401" s="10">
        <f>_XLL.RISKOUTPUT(,"Contaminated food contact surfaces during a shift",398)+K401/(J401+K401)</f>
        <v>0.00266192070916144</v>
      </c>
      <c r="M401" s="2">
        <f>IF(J401&lt;1,0,_XLL.RISKBINOMIAL(ROUND(J401,0),N401))</f>
        <v>0</v>
      </c>
      <c r="N401" s="11">
        <f t="shared" si="95"/>
        <v>1.3308466217609727E-05</v>
      </c>
      <c r="O401" s="2">
        <f t="shared" si="96"/>
        <v>68</v>
      </c>
      <c r="P401" s="2">
        <f t="shared" si="97"/>
        <v>0</v>
      </c>
      <c r="Q401" s="10">
        <f>_XLL.RISKOUTPUT(,"Contaminated gloves during a shift",398)+P401/(O401+P401)</f>
        <v>0</v>
      </c>
      <c r="R401" s="2">
        <f>IF(O401&lt;1,0,_XLL.RISKBINOMIAL(ROUND(O401,0),S401))</f>
        <v>0</v>
      </c>
      <c r="S401" s="11">
        <f t="shared" si="89"/>
        <v>0.0002337817386286467</v>
      </c>
      <c r="U401" s="2">
        <f t="shared" si="84"/>
        <v>102</v>
      </c>
      <c r="V401" s="2">
        <f t="shared" si="85"/>
        <v>1224</v>
      </c>
      <c r="W401" s="2">
        <f t="shared" si="86"/>
        <v>68</v>
      </c>
    </row>
    <row r="402" spans="1:23" ht="12.75">
      <c r="A402">
        <v>1</v>
      </c>
      <c r="B402">
        <v>398</v>
      </c>
      <c r="C402" s="2">
        <f t="shared" si="90"/>
        <v>100.61538461538461</v>
      </c>
      <c r="D402" s="2">
        <f t="shared" si="91"/>
        <v>1.3846153846153846</v>
      </c>
      <c r="E402" s="2">
        <f t="shared" si="92"/>
        <v>10.061538461538461</v>
      </c>
      <c r="F402" s="2">
        <f t="shared" si="93"/>
        <v>0.13846153846153847</v>
      </c>
      <c r="G402" s="9">
        <f>_XLL.RISKOUTPUT(,"Contaminated food products during a shift",399)+D402/(C402+D402)</f>
        <v>0.013574660633484163</v>
      </c>
      <c r="H402" s="2">
        <f>IF(C402&lt;1,0,_XLL.RISKBINOMIAL(ROUND(C402,0),I402))</f>
        <v>0</v>
      </c>
      <c r="I402" s="8">
        <f t="shared" si="94"/>
        <v>5.569062148913506E-05</v>
      </c>
      <c r="J402" s="2">
        <f t="shared" si="87"/>
        <v>1220.7418090519864</v>
      </c>
      <c r="K402" s="2">
        <f t="shared" si="88"/>
        <v>3.2581909480136027</v>
      </c>
      <c r="L402" s="10">
        <f>_XLL.RISKOUTPUT(,"Contaminated food contact surfaces during a shift",399)+K402/(J402+K402)</f>
        <v>0.00266192070916144</v>
      </c>
      <c r="M402" s="2">
        <f>IF(J402&lt;1,0,_XLL.RISKBINOMIAL(ROUND(J402,0),N402))</f>
        <v>0</v>
      </c>
      <c r="N402" s="11">
        <f t="shared" si="95"/>
        <v>1.3308466217609727E-05</v>
      </c>
      <c r="O402" s="2">
        <f t="shared" si="96"/>
        <v>68</v>
      </c>
      <c r="P402" s="2">
        <f t="shared" si="97"/>
        <v>0</v>
      </c>
      <c r="Q402" s="10">
        <f>_XLL.RISKOUTPUT(,"Contaminated gloves during a shift",399)+P402/(O402+P402)</f>
        <v>0</v>
      </c>
      <c r="R402" s="2">
        <f>IF(O402&lt;1,0,_XLL.RISKBINOMIAL(ROUND(O402,0),S402))</f>
        <v>0</v>
      </c>
      <c r="S402" s="11">
        <f t="shared" si="89"/>
        <v>0.0002337817386286467</v>
      </c>
      <c r="U402" s="2">
        <f t="shared" si="84"/>
        <v>102</v>
      </c>
      <c r="V402" s="2">
        <f t="shared" si="85"/>
        <v>1224</v>
      </c>
      <c r="W402" s="2">
        <f t="shared" si="86"/>
        <v>68</v>
      </c>
    </row>
    <row r="403" spans="1:23" ht="12.75">
      <c r="A403">
        <v>1</v>
      </c>
      <c r="B403">
        <v>399</v>
      </c>
      <c r="C403" s="2">
        <f t="shared" si="90"/>
        <v>100.61538461538461</v>
      </c>
      <c r="D403" s="2">
        <f t="shared" si="91"/>
        <v>1.3846153846153846</v>
      </c>
      <c r="E403" s="2">
        <f t="shared" si="92"/>
        <v>10.061538461538461</v>
      </c>
      <c r="F403" s="2">
        <f t="shared" si="93"/>
        <v>0.13846153846153847</v>
      </c>
      <c r="G403" s="9">
        <f>_XLL.RISKOUTPUT(,"Contaminated food products during a shift",400)+D403/(C403+D403)</f>
        <v>0.013574660633484163</v>
      </c>
      <c r="H403" s="2">
        <f>IF(C403&lt;1,0,_XLL.RISKBINOMIAL(ROUND(C403,0),I403))</f>
        <v>0</v>
      </c>
      <c r="I403" s="8">
        <f t="shared" si="94"/>
        <v>5.569062148913506E-05</v>
      </c>
      <c r="J403" s="2">
        <f t="shared" si="87"/>
        <v>1220.7418090519864</v>
      </c>
      <c r="K403" s="2">
        <f t="shared" si="88"/>
        <v>3.2581909480136027</v>
      </c>
      <c r="L403" s="10">
        <f>_XLL.RISKOUTPUT(,"Contaminated food contact surfaces during a shift",400)+K403/(J403+K403)</f>
        <v>0.00266192070916144</v>
      </c>
      <c r="M403" s="2">
        <f>IF(J403&lt;1,0,_XLL.RISKBINOMIAL(ROUND(J403,0),N403))</f>
        <v>0</v>
      </c>
      <c r="N403" s="11">
        <f t="shared" si="95"/>
        <v>1.3308466217609727E-05</v>
      </c>
      <c r="O403" s="2">
        <f t="shared" si="96"/>
        <v>68</v>
      </c>
      <c r="P403" s="2">
        <f t="shared" si="97"/>
        <v>0</v>
      </c>
      <c r="Q403" s="10">
        <f>_XLL.RISKOUTPUT(,"Contaminated gloves during a shift",400)+P403/(O403+P403)</f>
        <v>0</v>
      </c>
      <c r="R403" s="2">
        <f>IF(O403&lt;1,0,_XLL.RISKBINOMIAL(ROUND(O403,0),S403))</f>
        <v>0</v>
      </c>
      <c r="S403" s="11">
        <f t="shared" si="89"/>
        <v>0.0002337817386286467</v>
      </c>
      <c r="U403" s="2">
        <f t="shared" si="84"/>
        <v>102</v>
      </c>
      <c r="V403" s="2">
        <f t="shared" si="85"/>
        <v>1224</v>
      </c>
      <c r="W403" s="2">
        <f t="shared" si="86"/>
        <v>68</v>
      </c>
    </row>
    <row r="404" spans="1:23" ht="12.75">
      <c r="A404">
        <v>1</v>
      </c>
      <c r="B404">
        <v>400</v>
      </c>
      <c r="C404" s="2">
        <f t="shared" si="90"/>
        <v>100.61538461538461</v>
      </c>
      <c r="D404" s="2">
        <f t="shared" si="91"/>
        <v>1.3846153846153846</v>
      </c>
      <c r="E404" s="2">
        <f t="shared" si="92"/>
        <v>10.061538461538461</v>
      </c>
      <c r="F404" s="2">
        <f t="shared" si="93"/>
        <v>0.13846153846153847</v>
      </c>
      <c r="G404" s="9">
        <f>_XLL.RISKOUTPUT(,"Contaminated food products during a shift",401)+D404/(C404+D404)</f>
        <v>0.013574660633484163</v>
      </c>
      <c r="H404" s="2">
        <f>IF(C404&lt;1,0,_XLL.RISKBINOMIAL(ROUND(C404,0),I404))</f>
        <v>0</v>
      </c>
      <c r="I404" s="8">
        <f t="shared" si="94"/>
        <v>5.569062148913506E-05</v>
      </c>
      <c r="J404" s="2">
        <f t="shared" si="87"/>
        <v>1220.7418090519864</v>
      </c>
      <c r="K404" s="2">
        <f t="shared" si="88"/>
        <v>3.2581909480136027</v>
      </c>
      <c r="L404" s="10">
        <f>_XLL.RISKOUTPUT(,"Contaminated food contact surfaces during a shift",401)+K404/(J404+K404)</f>
        <v>0.00266192070916144</v>
      </c>
      <c r="M404" s="2">
        <f>IF(J404&lt;1,0,_XLL.RISKBINOMIAL(ROUND(J404,0),N404))</f>
        <v>0</v>
      </c>
      <c r="N404" s="11">
        <f t="shared" si="95"/>
        <v>1.3308466217609727E-05</v>
      </c>
      <c r="O404" s="2">
        <f t="shared" si="96"/>
        <v>68</v>
      </c>
      <c r="P404" s="2">
        <f t="shared" si="97"/>
        <v>0</v>
      </c>
      <c r="Q404" s="10">
        <f>_XLL.RISKOUTPUT(,"Contaminated gloves during a shift",401)+P404/(O404+P404)</f>
        <v>0</v>
      </c>
      <c r="R404" s="2">
        <f>IF(O404&lt;1,0,_XLL.RISKBINOMIAL(ROUND(O404,0),S404))</f>
        <v>0</v>
      </c>
      <c r="S404" s="11">
        <f t="shared" si="89"/>
        <v>0.0002337817386286467</v>
      </c>
      <c r="U404" s="2">
        <f t="shared" si="84"/>
        <v>102</v>
      </c>
      <c r="V404" s="2">
        <f t="shared" si="85"/>
        <v>1224</v>
      </c>
      <c r="W404" s="2">
        <f t="shared" si="86"/>
        <v>68</v>
      </c>
    </row>
    <row r="405" spans="1:23" ht="12.75">
      <c r="A405">
        <v>1</v>
      </c>
      <c r="B405">
        <v>401</v>
      </c>
      <c r="C405" s="2">
        <f t="shared" si="90"/>
        <v>100.61538461538461</v>
      </c>
      <c r="D405" s="2">
        <f t="shared" si="91"/>
        <v>1.3846153846153846</v>
      </c>
      <c r="E405" s="2">
        <f t="shared" si="92"/>
        <v>10.061538461538461</v>
      </c>
      <c r="F405" s="2">
        <f t="shared" si="93"/>
        <v>0.13846153846153847</v>
      </c>
      <c r="G405" s="9">
        <f>_XLL.RISKOUTPUT(,"Contaminated food products during a shift",402)+D405/(C405+D405)</f>
        <v>0.013574660633484163</v>
      </c>
      <c r="H405" s="2">
        <f>IF(C405&lt;1,0,_XLL.RISKBINOMIAL(ROUND(C405,0),I405))</f>
        <v>0</v>
      </c>
      <c r="I405" s="8">
        <f t="shared" si="94"/>
        <v>5.569062148913506E-05</v>
      </c>
      <c r="J405" s="2">
        <f t="shared" si="87"/>
        <v>1220.7418090519864</v>
      </c>
      <c r="K405" s="2">
        <f t="shared" si="88"/>
        <v>3.2581909480136027</v>
      </c>
      <c r="L405" s="10">
        <f>_XLL.RISKOUTPUT(,"Contaminated food contact surfaces during a shift",402)+K405/(J405+K405)</f>
        <v>0.00266192070916144</v>
      </c>
      <c r="M405" s="2">
        <f>IF(J405&lt;1,0,_XLL.RISKBINOMIAL(ROUND(J405,0),N405))</f>
        <v>0</v>
      </c>
      <c r="N405" s="11">
        <f t="shared" si="95"/>
        <v>1.3308466217609727E-05</v>
      </c>
      <c r="O405" s="2">
        <f t="shared" si="96"/>
        <v>68</v>
      </c>
      <c r="P405" s="2">
        <f t="shared" si="97"/>
        <v>0</v>
      </c>
      <c r="Q405" s="10">
        <f>_XLL.RISKOUTPUT(,"Contaminated gloves during a shift",402)+P405/(O405+P405)</f>
        <v>0</v>
      </c>
      <c r="R405" s="2">
        <f>IF(O405&lt;1,0,_XLL.RISKBINOMIAL(ROUND(O405,0),S405))</f>
        <v>0</v>
      </c>
      <c r="S405" s="11">
        <f t="shared" si="89"/>
        <v>0.0002337817386286467</v>
      </c>
      <c r="U405" s="2">
        <f t="shared" si="84"/>
        <v>102</v>
      </c>
      <c r="V405" s="2">
        <f t="shared" si="85"/>
        <v>1224</v>
      </c>
      <c r="W405" s="2">
        <f t="shared" si="86"/>
        <v>68</v>
      </c>
    </row>
    <row r="406" spans="1:23" ht="12.75">
      <c r="A406">
        <v>1</v>
      </c>
      <c r="B406">
        <v>402</v>
      </c>
      <c r="C406" s="2">
        <f t="shared" si="90"/>
        <v>100.61538461538461</v>
      </c>
      <c r="D406" s="2">
        <f t="shared" si="91"/>
        <v>1.3846153846153846</v>
      </c>
      <c r="E406" s="2">
        <f t="shared" si="92"/>
        <v>10.061538461538461</v>
      </c>
      <c r="F406" s="2">
        <f t="shared" si="93"/>
        <v>0.13846153846153847</v>
      </c>
      <c r="G406" s="9">
        <f>_XLL.RISKOUTPUT(,"Contaminated food products during a shift",403)+D406/(C406+D406)</f>
        <v>0.013574660633484163</v>
      </c>
      <c r="H406" s="2">
        <f>IF(C406&lt;1,0,_XLL.RISKBINOMIAL(ROUND(C406,0),I406))</f>
        <v>0</v>
      </c>
      <c r="I406" s="8">
        <f t="shared" si="94"/>
        <v>5.569062148913506E-05</v>
      </c>
      <c r="J406" s="2">
        <f t="shared" si="87"/>
        <v>1220.7418090519864</v>
      </c>
      <c r="K406" s="2">
        <f t="shared" si="88"/>
        <v>3.2581909480136027</v>
      </c>
      <c r="L406" s="10">
        <f>_XLL.RISKOUTPUT(,"Contaminated food contact surfaces during a shift",403)+K406/(J406+K406)</f>
        <v>0.00266192070916144</v>
      </c>
      <c r="M406" s="2">
        <f>IF(J406&lt;1,0,_XLL.RISKBINOMIAL(ROUND(J406,0),N406))</f>
        <v>0</v>
      </c>
      <c r="N406" s="11">
        <f t="shared" si="95"/>
        <v>1.3308466217609727E-05</v>
      </c>
      <c r="O406" s="2">
        <f t="shared" si="96"/>
        <v>68</v>
      </c>
      <c r="P406" s="2">
        <f t="shared" si="97"/>
        <v>0</v>
      </c>
      <c r="Q406" s="10">
        <f>_XLL.RISKOUTPUT(,"Contaminated gloves during a shift",403)+P406/(O406+P406)</f>
        <v>0</v>
      </c>
      <c r="R406" s="2">
        <f>IF(O406&lt;1,0,_XLL.RISKBINOMIAL(ROUND(O406,0),S406))</f>
        <v>0</v>
      </c>
      <c r="S406" s="11">
        <f t="shared" si="89"/>
        <v>0.0002337817386286467</v>
      </c>
      <c r="U406" s="2">
        <f t="shared" si="84"/>
        <v>102</v>
      </c>
      <c r="V406" s="2">
        <f t="shared" si="85"/>
        <v>1224</v>
      </c>
      <c r="W406" s="2">
        <f t="shared" si="86"/>
        <v>68</v>
      </c>
    </row>
    <row r="407" spans="1:23" ht="12.75">
      <c r="A407">
        <v>1</v>
      </c>
      <c r="B407">
        <v>403</v>
      </c>
      <c r="C407" s="2">
        <f t="shared" si="90"/>
        <v>100.61538461538461</v>
      </c>
      <c r="D407" s="2">
        <f t="shared" si="91"/>
        <v>1.3846153846153846</v>
      </c>
      <c r="E407" s="2">
        <f t="shared" si="92"/>
        <v>10.061538461538461</v>
      </c>
      <c r="F407" s="2">
        <f t="shared" si="93"/>
        <v>0.13846153846153847</v>
      </c>
      <c r="G407" s="9">
        <f>_XLL.RISKOUTPUT(,"Contaminated food products during a shift",404)+D407/(C407+D407)</f>
        <v>0.013574660633484163</v>
      </c>
      <c r="H407" s="2">
        <f>IF(C407&lt;1,0,_XLL.RISKBINOMIAL(ROUND(C407,0),I407))</f>
        <v>0</v>
      </c>
      <c r="I407" s="8">
        <f t="shared" si="94"/>
        <v>5.569062148913506E-05</v>
      </c>
      <c r="J407" s="2">
        <f t="shared" si="87"/>
        <v>1220.7418090519864</v>
      </c>
      <c r="K407" s="2">
        <f t="shared" si="88"/>
        <v>3.2581909480136027</v>
      </c>
      <c r="L407" s="10">
        <f>_XLL.RISKOUTPUT(,"Contaminated food contact surfaces during a shift",404)+K407/(J407+K407)</f>
        <v>0.00266192070916144</v>
      </c>
      <c r="M407" s="2">
        <f>IF(J407&lt;1,0,_XLL.RISKBINOMIAL(ROUND(J407,0),N407))</f>
        <v>0</v>
      </c>
      <c r="N407" s="11">
        <f t="shared" si="95"/>
        <v>1.3308466217609727E-05</v>
      </c>
      <c r="O407" s="2">
        <f t="shared" si="96"/>
        <v>68</v>
      </c>
      <c r="P407" s="2">
        <f t="shared" si="97"/>
        <v>0</v>
      </c>
      <c r="Q407" s="10">
        <f>_XLL.RISKOUTPUT(,"Contaminated gloves during a shift",404)+P407/(O407+P407)</f>
        <v>0</v>
      </c>
      <c r="R407" s="2">
        <f>IF(O407&lt;1,0,_XLL.RISKBINOMIAL(ROUND(O407,0),S407))</f>
        <v>0</v>
      </c>
      <c r="S407" s="11">
        <f t="shared" si="89"/>
        <v>0.0002337817386286467</v>
      </c>
      <c r="U407" s="2">
        <f t="shared" si="84"/>
        <v>102</v>
      </c>
      <c r="V407" s="2">
        <f t="shared" si="85"/>
        <v>1224</v>
      </c>
      <c r="W407" s="2">
        <f t="shared" si="86"/>
        <v>68</v>
      </c>
    </row>
    <row r="408" spans="1:23" ht="12.75">
      <c r="A408">
        <v>1</v>
      </c>
      <c r="B408">
        <v>404</v>
      </c>
      <c r="C408" s="2">
        <f t="shared" si="90"/>
        <v>100.61538461538461</v>
      </c>
      <c r="D408" s="2">
        <f t="shared" si="91"/>
        <v>1.3846153846153846</v>
      </c>
      <c r="E408" s="2">
        <f t="shared" si="92"/>
        <v>10.061538461538461</v>
      </c>
      <c r="F408" s="2">
        <f t="shared" si="93"/>
        <v>0.13846153846153847</v>
      </c>
      <c r="G408" s="9">
        <f>_XLL.RISKOUTPUT(,"Contaminated food products during a shift",405)+D408/(C408+D408)</f>
        <v>0.013574660633484163</v>
      </c>
      <c r="H408" s="2">
        <f>IF(C408&lt;1,0,_XLL.RISKBINOMIAL(ROUND(C408,0),I408))</f>
        <v>0</v>
      </c>
      <c r="I408" s="8">
        <f t="shared" si="94"/>
        <v>5.569062148913506E-05</v>
      </c>
      <c r="J408" s="2">
        <f t="shared" si="87"/>
        <v>1220.7418090519864</v>
      </c>
      <c r="K408" s="2">
        <f t="shared" si="88"/>
        <v>3.2581909480136027</v>
      </c>
      <c r="L408" s="10">
        <f>_XLL.RISKOUTPUT(,"Contaminated food contact surfaces during a shift",405)+K408/(J408+K408)</f>
        <v>0.00266192070916144</v>
      </c>
      <c r="M408" s="2">
        <f>IF(J408&lt;1,0,_XLL.RISKBINOMIAL(ROUND(J408,0),N408))</f>
        <v>0</v>
      </c>
      <c r="N408" s="11">
        <f t="shared" si="95"/>
        <v>1.3308466217609727E-05</v>
      </c>
      <c r="O408" s="2">
        <f t="shared" si="96"/>
        <v>68</v>
      </c>
      <c r="P408" s="2">
        <f t="shared" si="97"/>
        <v>0</v>
      </c>
      <c r="Q408" s="10">
        <f>_XLL.RISKOUTPUT(,"Contaminated gloves during a shift",405)+P408/(O408+P408)</f>
        <v>0</v>
      </c>
      <c r="R408" s="2">
        <f>IF(O408&lt;1,0,_XLL.RISKBINOMIAL(ROUND(O408,0),S408))</f>
        <v>0</v>
      </c>
      <c r="S408" s="11">
        <f t="shared" si="89"/>
        <v>0.0002337817386286467</v>
      </c>
      <c r="U408" s="2">
        <f t="shared" si="84"/>
        <v>102</v>
      </c>
      <c r="V408" s="2">
        <f t="shared" si="85"/>
        <v>1224</v>
      </c>
      <c r="W408" s="2">
        <f t="shared" si="86"/>
        <v>68</v>
      </c>
    </row>
    <row r="409" spans="1:23" ht="12.75">
      <c r="A409">
        <v>1</v>
      </c>
      <c r="B409">
        <v>405</v>
      </c>
      <c r="C409" s="2">
        <f t="shared" si="90"/>
        <v>100.61538461538461</v>
      </c>
      <c r="D409" s="2">
        <f t="shared" si="91"/>
        <v>1.3846153846153846</v>
      </c>
      <c r="E409" s="2">
        <f t="shared" si="92"/>
        <v>10.061538461538461</v>
      </c>
      <c r="F409" s="2">
        <f t="shared" si="93"/>
        <v>0.13846153846153847</v>
      </c>
      <c r="G409" s="9">
        <f>_XLL.RISKOUTPUT(,"Contaminated food products during a shift",406)+D409/(C409+D409)</f>
        <v>0.013574660633484163</v>
      </c>
      <c r="H409" s="2">
        <f>IF(C409&lt;1,0,_XLL.RISKBINOMIAL(ROUND(C409,0),I409))</f>
        <v>0</v>
      </c>
      <c r="I409" s="8">
        <f t="shared" si="94"/>
        <v>5.569062148913506E-05</v>
      </c>
      <c r="J409" s="2">
        <f t="shared" si="87"/>
        <v>1220.7418090519864</v>
      </c>
      <c r="K409" s="2">
        <f t="shared" si="88"/>
        <v>3.2581909480136027</v>
      </c>
      <c r="L409" s="10">
        <f>_XLL.RISKOUTPUT(,"Contaminated food contact surfaces during a shift",406)+K409/(J409+K409)</f>
        <v>0.00266192070916144</v>
      </c>
      <c r="M409" s="2">
        <f>IF(J409&lt;1,0,_XLL.RISKBINOMIAL(ROUND(J409,0),N409))</f>
        <v>0</v>
      </c>
      <c r="N409" s="11">
        <f t="shared" si="95"/>
        <v>1.3308466217609727E-05</v>
      </c>
      <c r="O409" s="2">
        <f t="shared" si="96"/>
        <v>68</v>
      </c>
      <c r="P409" s="2">
        <f t="shared" si="97"/>
        <v>0</v>
      </c>
      <c r="Q409" s="10">
        <f>_XLL.RISKOUTPUT(,"Contaminated gloves during a shift",406)+P409/(O409+P409)</f>
        <v>0</v>
      </c>
      <c r="R409" s="2">
        <f>IF(O409&lt;1,0,_XLL.RISKBINOMIAL(ROUND(O409,0),S409))</f>
        <v>0</v>
      </c>
      <c r="S409" s="11">
        <f t="shared" si="89"/>
        <v>0.0002337817386286467</v>
      </c>
      <c r="U409" s="2">
        <f t="shared" si="84"/>
        <v>102</v>
      </c>
      <c r="V409" s="2">
        <f t="shared" si="85"/>
        <v>1224</v>
      </c>
      <c r="W409" s="2">
        <f t="shared" si="86"/>
        <v>68</v>
      </c>
    </row>
    <row r="410" spans="1:23" ht="12.75">
      <c r="A410">
        <v>1</v>
      </c>
      <c r="B410">
        <v>406</v>
      </c>
      <c r="C410" s="2">
        <f t="shared" si="90"/>
        <v>100.61538461538461</v>
      </c>
      <c r="D410" s="2">
        <f t="shared" si="91"/>
        <v>1.3846153846153846</v>
      </c>
      <c r="E410" s="2">
        <f t="shared" si="92"/>
        <v>10.061538461538461</v>
      </c>
      <c r="F410" s="2">
        <f t="shared" si="93"/>
        <v>0.13846153846153847</v>
      </c>
      <c r="G410" s="9">
        <f>_XLL.RISKOUTPUT(,"Contaminated food products during a shift",407)+D410/(C410+D410)</f>
        <v>0.013574660633484163</v>
      </c>
      <c r="H410" s="2">
        <f>IF(C410&lt;1,0,_XLL.RISKBINOMIAL(ROUND(C410,0),I410))</f>
        <v>0</v>
      </c>
      <c r="I410" s="8">
        <f t="shared" si="94"/>
        <v>5.569062148913506E-05</v>
      </c>
      <c r="J410" s="2">
        <f t="shared" si="87"/>
        <v>1220.7418090519864</v>
      </c>
      <c r="K410" s="2">
        <f t="shared" si="88"/>
        <v>3.2581909480136027</v>
      </c>
      <c r="L410" s="10">
        <f>_XLL.RISKOUTPUT(,"Contaminated food contact surfaces during a shift",407)+K410/(J410+K410)</f>
        <v>0.00266192070916144</v>
      </c>
      <c r="M410" s="2">
        <f>IF(J410&lt;1,0,_XLL.RISKBINOMIAL(ROUND(J410,0),N410))</f>
        <v>0</v>
      </c>
      <c r="N410" s="11">
        <f t="shared" si="95"/>
        <v>1.3308466217609727E-05</v>
      </c>
      <c r="O410" s="2">
        <f t="shared" si="96"/>
        <v>68</v>
      </c>
      <c r="P410" s="2">
        <f t="shared" si="97"/>
        <v>0</v>
      </c>
      <c r="Q410" s="10">
        <f>_XLL.RISKOUTPUT(,"Contaminated gloves during a shift",407)+P410/(O410+P410)</f>
        <v>0</v>
      </c>
      <c r="R410" s="2">
        <f>IF(O410&lt;1,0,_XLL.RISKBINOMIAL(ROUND(O410,0),S410))</f>
        <v>0</v>
      </c>
      <c r="S410" s="11">
        <f t="shared" si="89"/>
        <v>0.0002337817386286467</v>
      </c>
      <c r="U410" s="2">
        <f t="shared" si="84"/>
        <v>102</v>
      </c>
      <c r="V410" s="2">
        <f t="shared" si="85"/>
        <v>1224</v>
      </c>
      <c r="W410" s="2">
        <f t="shared" si="86"/>
        <v>68</v>
      </c>
    </row>
    <row r="411" spans="1:23" ht="12.75">
      <c r="A411">
        <v>1</v>
      </c>
      <c r="B411">
        <v>407</v>
      </c>
      <c r="C411" s="2">
        <f t="shared" si="90"/>
        <v>100.61538461538461</v>
      </c>
      <c r="D411" s="2">
        <f t="shared" si="91"/>
        <v>1.3846153846153846</v>
      </c>
      <c r="E411" s="2">
        <f t="shared" si="92"/>
        <v>10.061538461538461</v>
      </c>
      <c r="F411" s="2">
        <f t="shared" si="93"/>
        <v>0.13846153846153847</v>
      </c>
      <c r="G411" s="9">
        <f>_XLL.RISKOUTPUT(,"Contaminated food products during a shift",408)+D411/(C411+D411)</f>
        <v>0.013574660633484163</v>
      </c>
      <c r="H411" s="2">
        <f>IF(C411&lt;1,0,_XLL.RISKBINOMIAL(ROUND(C411,0),I411))</f>
        <v>0</v>
      </c>
      <c r="I411" s="8">
        <f t="shared" si="94"/>
        <v>5.569062148913506E-05</v>
      </c>
      <c r="J411" s="2">
        <f t="shared" si="87"/>
        <v>1220.7418090519864</v>
      </c>
      <c r="K411" s="2">
        <f t="shared" si="88"/>
        <v>3.2581909480136027</v>
      </c>
      <c r="L411" s="10">
        <f>_XLL.RISKOUTPUT(,"Contaminated food contact surfaces during a shift",408)+K411/(J411+K411)</f>
        <v>0.00266192070916144</v>
      </c>
      <c r="M411" s="2">
        <f>IF(J411&lt;1,0,_XLL.RISKBINOMIAL(ROUND(J411,0),N411))</f>
        <v>0</v>
      </c>
      <c r="N411" s="11">
        <f t="shared" si="95"/>
        <v>1.3308466217609727E-05</v>
      </c>
      <c r="O411" s="2">
        <f t="shared" si="96"/>
        <v>68</v>
      </c>
      <c r="P411" s="2">
        <f t="shared" si="97"/>
        <v>0</v>
      </c>
      <c r="Q411" s="10">
        <f>_XLL.RISKOUTPUT(,"Contaminated gloves during a shift",408)+P411/(O411+P411)</f>
        <v>0</v>
      </c>
      <c r="R411" s="2">
        <f>IF(O411&lt;1,0,_XLL.RISKBINOMIAL(ROUND(O411,0),S411))</f>
        <v>0</v>
      </c>
      <c r="S411" s="11">
        <f t="shared" si="89"/>
        <v>0.0002337817386286467</v>
      </c>
      <c r="U411" s="2">
        <f t="shared" si="84"/>
        <v>102</v>
      </c>
      <c r="V411" s="2">
        <f t="shared" si="85"/>
        <v>1224</v>
      </c>
      <c r="W411" s="2">
        <f t="shared" si="86"/>
        <v>68</v>
      </c>
    </row>
    <row r="412" spans="1:23" ht="12.75">
      <c r="A412">
        <v>1</v>
      </c>
      <c r="B412">
        <v>408</v>
      </c>
      <c r="C412" s="2">
        <f t="shared" si="90"/>
        <v>100.61538461538461</v>
      </c>
      <c r="D412" s="2">
        <f t="shared" si="91"/>
        <v>1.3846153846153846</v>
      </c>
      <c r="E412" s="2">
        <f t="shared" si="92"/>
        <v>10.061538461538461</v>
      </c>
      <c r="F412" s="2">
        <f t="shared" si="93"/>
        <v>0.13846153846153847</v>
      </c>
      <c r="G412" s="9">
        <f>_XLL.RISKOUTPUT(,"Contaminated food products during a shift",409)+D412/(C412+D412)</f>
        <v>0.013574660633484163</v>
      </c>
      <c r="H412" s="2">
        <f>IF(C412&lt;1,0,_XLL.RISKBINOMIAL(ROUND(C412,0),I412))</f>
        <v>0</v>
      </c>
      <c r="I412" s="8">
        <f t="shared" si="94"/>
        <v>5.569062148913506E-05</v>
      </c>
      <c r="J412" s="2">
        <f t="shared" si="87"/>
        <v>1220.7418090519864</v>
      </c>
      <c r="K412" s="2">
        <f t="shared" si="88"/>
        <v>3.2581909480136027</v>
      </c>
      <c r="L412" s="10">
        <f>_XLL.RISKOUTPUT(,"Contaminated food contact surfaces during a shift",409)+K412/(J412+K412)</f>
        <v>0.00266192070916144</v>
      </c>
      <c r="M412" s="2">
        <f>IF(J412&lt;1,0,_XLL.RISKBINOMIAL(ROUND(J412,0),N412))</f>
        <v>0</v>
      </c>
      <c r="N412" s="11">
        <f t="shared" si="95"/>
        <v>1.3308466217609727E-05</v>
      </c>
      <c r="O412" s="2">
        <f t="shared" si="96"/>
        <v>68</v>
      </c>
      <c r="P412" s="2">
        <f t="shared" si="97"/>
        <v>0</v>
      </c>
      <c r="Q412" s="10">
        <f>_XLL.RISKOUTPUT(,"Contaminated gloves during a shift",409)+P412/(O412+P412)</f>
        <v>0</v>
      </c>
      <c r="R412" s="2">
        <f>IF(O412&lt;1,0,_XLL.RISKBINOMIAL(ROUND(O412,0),S412))</f>
        <v>0</v>
      </c>
      <c r="S412" s="11">
        <f t="shared" si="89"/>
        <v>0.0002337817386286467</v>
      </c>
      <c r="U412" s="2">
        <f t="shared" si="84"/>
        <v>102</v>
      </c>
      <c r="V412" s="2">
        <f t="shared" si="85"/>
        <v>1224</v>
      </c>
      <c r="W412" s="2">
        <f t="shared" si="86"/>
        <v>68</v>
      </c>
    </row>
    <row r="413" spans="1:23" ht="12.75">
      <c r="A413">
        <v>1</v>
      </c>
      <c r="B413">
        <v>409</v>
      </c>
      <c r="C413" s="2">
        <f t="shared" si="90"/>
        <v>100.61538461538461</v>
      </c>
      <c r="D413" s="2">
        <f t="shared" si="91"/>
        <v>1.3846153846153846</v>
      </c>
      <c r="E413" s="2">
        <f t="shared" si="92"/>
        <v>10.061538461538461</v>
      </c>
      <c r="F413" s="2">
        <f t="shared" si="93"/>
        <v>0.13846153846153847</v>
      </c>
      <c r="G413" s="9">
        <f>_XLL.RISKOUTPUT(,"Contaminated food products during a shift",410)+D413/(C413+D413)</f>
        <v>0.013574660633484163</v>
      </c>
      <c r="H413" s="2">
        <f>IF(C413&lt;1,0,_XLL.RISKBINOMIAL(ROUND(C413,0),I413))</f>
        <v>0</v>
      </c>
      <c r="I413" s="8">
        <f t="shared" si="94"/>
        <v>5.569062148913506E-05</v>
      </c>
      <c r="J413" s="2">
        <f t="shared" si="87"/>
        <v>1220.7418090519864</v>
      </c>
      <c r="K413" s="2">
        <f t="shared" si="88"/>
        <v>3.2581909480136027</v>
      </c>
      <c r="L413" s="10">
        <f>_XLL.RISKOUTPUT(,"Contaminated food contact surfaces during a shift",410)+K413/(J413+K413)</f>
        <v>0.00266192070916144</v>
      </c>
      <c r="M413" s="2">
        <f>IF(J413&lt;1,0,_XLL.RISKBINOMIAL(ROUND(J413,0),N413))</f>
        <v>0</v>
      </c>
      <c r="N413" s="11">
        <f t="shared" si="95"/>
        <v>1.3308466217609727E-05</v>
      </c>
      <c r="O413" s="2">
        <f t="shared" si="96"/>
        <v>68</v>
      </c>
      <c r="P413" s="2">
        <f t="shared" si="97"/>
        <v>0</v>
      </c>
      <c r="Q413" s="10">
        <f>_XLL.RISKOUTPUT(,"Contaminated gloves during a shift",410)+P413/(O413+P413)</f>
        <v>0</v>
      </c>
      <c r="R413" s="2">
        <f>IF(O413&lt;1,0,_XLL.RISKBINOMIAL(ROUND(O413,0),S413))</f>
        <v>0</v>
      </c>
      <c r="S413" s="11">
        <f t="shared" si="89"/>
        <v>0.0002337817386286467</v>
      </c>
      <c r="U413" s="2">
        <f t="shared" si="84"/>
        <v>102</v>
      </c>
      <c r="V413" s="2">
        <f t="shared" si="85"/>
        <v>1224</v>
      </c>
      <c r="W413" s="2">
        <f t="shared" si="86"/>
        <v>68</v>
      </c>
    </row>
    <row r="414" spans="1:23" ht="12.75">
      <c r="A414">
        <v>1</v>
      </c>
      <c r="B414">
        <v>410</v>
      </c>
      <c r="C414" s="2">
        <f t="shared" si="90"/>
        <v>100.61538461538461</v>
      </c>
      <c r="D414" s="2">
        <f t="shared" si="91"/>
        <v>1.3846153846153846</v>
      </c>
      <c r="E414" s="2">
        <f t="shared" si="92"/>
        <v>10.061538461538461</v>
      </c>
      <c r="F414" s="2">
        <f t="shared" si="93"/>
        <v>0.13846153846153847</v>
      </c>
      <c r="G414" s="9">
        <f>_XLL.RISKOUTPUT(,"Contaminated food products during a shift",411)+D414/(C414+D414)</f>
        <v>0.013574660633484163</v>
      </c>
      <c r="H414" s="2">
        <f>IF(C414&lt;1,0,_XLL.RISKBINOMIAL(ROUND(C414,0),I414))</f>
        <v>0</v>
      </c>
      <c r="I414" s="8">
        <f t="shared" si="94"/>
        <v>5.569062148913506E-05</v>
      </c>
      <c r="J414" s="2">
        <f t="shared" si="87"/>
        <v>1220.7418090519864</v>
      </c>
      <c r="K414" s="2">
        <f t="shared" si="88"/>
        <v>3.2581909480136027</v>
      </c>
      <c r="L414" s="10">
        <f>_XLL.RISKOUTPUT(,"Contaminated food contact surfaces during a shift",411)+K414/(J414+K414)</f>
        <v>0.00266192070916144</v>
      </c>
      <c r="M414" s="2">
        <f>IF(J414&lt;1,0,_XLL.RISKBINOMIAL(ROUND(J414,0),N414))</f>
        <v>0</v>
      </c>
      <c r="N414" s="11">
        <f t="shared" si="95"/>
        <v>1.3308466217609727E-05</v>
      </c>
      <c r="O414" s="2">
        <f t="shared" si="96"/>
        <v>68</v>
      </c>
      <c r="P414" s="2">
        <f t="shared" si="97"/>
        <v>0</v>
      </c>
      <c r="Q414" s="10">
        <f>_XLL.RISKOUTPUT(,"Contaminated gloves during a shift",411)+P414/(O414+P414)</f>
        <v>0</v>
      </c>
      <c r="R414" s="2">
        <f>IF(O414&lt;1,0,_XLL.RISKBINOMIAL(ROUND(O414,0),S414))</f>
        <v>0</v>
      </c>
      <c r="S414" s="11">
        <f t="shared" si="89"/>
        <v>0.0002337817386286467</v>
      </c>
      <c r="U414" s="2">
        <f t="shared" si="84"/>
        <v>102</v>
      </c>
      <c r="V414" s="2">
        <f t="shared" si="85"/>
        <v>1224</v>
      </c>
      <c r="W414" s="2">
        <f t="shared" si="86"/>
        <v>68</v>
      </c>
    </row>
    <row r="415" spans="1:23" ht="12.75">
      <c r="A415">
        <v>1</v>
      </c>
      <c r="B415">
        <v>411</v>
      </c>
      <c r="C415" s="2">
        <f t="shared" si="90"/>
        <v>100.61538461538461</v>
      </c>
      <c r="D415" s="2">
        <f t="shared" si="91"/>
        <v>1.3846153846153846</v>
      </c>
      <c r="E415" s="2">
        <f t="shared" si="92"/>
        <v>10.061538461538461</v>
      </c>
      <c r="F415" s="2">
        <f t="shared" si="93"/>
        <v>0.13846153846153847</v>
      </c>
      <c r="G415" s="9">
        <f>_XLL.RISKOUTPUT(,"Contaminated food products during a shift",412)+D415/(C415+D415)</f>
        <v>0.013574660633484163</v>
      </c>
      <c r="H415" s="2">
        <f>IF(C415&lt;1,0,_XLL.RISKBINOMIAL(ROUND(C415,0),I415))</f>
        <v>0</v>
      </c>
      <c r="I415" s="8">
        <f t="shared" si="94"/>
        <v>5.569062148913506E-05</v>
      </c>
      <c r="J415" s="2">
        <f t="shared" si="87"/>
        <v>1220.7418090519864</v>
      </c>
      <c r="K415" s="2">
        <f t="shared" si="88"/>
        <v>3.2581909480136027</v>
      </c>
      <c r="L415" s="10">
        <f>_XLL.RISKOUTPUT(,"Contaminated food contact surfaces during a shift",412)+K415/(J415+K415)</f>
        <v>0.00266192070916144</v>
      </c>
      <c r="M415" s="2">
        <f>IF(J415&lt;1,0,_XLL.RISKBINOMIAL(ROUND(J415,0),N415))</f>
        <v>0</v>
      </c>
      <c r="N415" s="11">
        <f t="shared" si="95"/>
        <v>1.3308466217609727E-05</v>
      </c>
      <c r="O415" s="2">
        <f t="shared" si="96"/>
        <v>68</v>
      </c>
      <c r="P415" s="2">
        <f t="shared" si="97"/>
        <v>0</v>
      </c>
      <c r="Q415" s="10">
        <f>_XLL.RISKOUTPUT(,"Contaminated gloves during a shift",412)+P415/(O415+P415)</f>
        <v>0</v>
      </c>
      <c r="R415" s="2">
        <f>IF(O415&lt;1,0,_XLL.RISKBINOMIAL(ROUND(O415,0),S415))</f>
        <v>0</v>
      </c>
      <c r="S415" s="11">
        <f t="shared" si="89"/>
        <v>0.0002337817386286467</v>
      </c>
      <c r="U415" s="2">
        <f t="shared" si="84"/>
        <v>102</v>
      </c>
      <c r="V415" s="2">
        <f t="shared" si="85"/>
        <v>1224</v>
      </c>
      <c r="W415" s="2">
        <f t="shared" si="86"/>
        <v>68</v>
      </c>
    </row>
    <row r="416" spans="1:23" ht="12.75">
      <c r="A416">
        <v>1</v>
      </c>
      <c r="B416">
        <v>412</v>
      </c>
      <c r="C416" s="2">
        <f t="shared" si="90"/>
        <v>100.61538461538461</v>
      </c>
      <c r="D416" s="2">
        <f t="shared" si="91"/>
        <v>1.3846153846153846</v>
      </c>
      <c r="E416" s="2">
        <f t="shared" si="92"/>
        <v>10.061538461538461</v>
      </c>
      <c r="F416" s="2">
        <f t="shared" si="93"/>
        <v>0.13846153846153847</v>
      </c>
      <c r="G416" s="9">
        <f>_XLL.RISKOUTPUT(,"Contaminated food products during a shift",413)+D416/(C416+D416)</f>
        <v>0.013574660633484163</v>
      </c>
      <c r="H416" s="2">
        <f>IF(C416&lt;1,0,_XLL.RISKBINOMIAL(ROUND(C416,0),I416))</f>
        <v>0</v>
      </c>
      <c r="I416" s="8">
        <f t="shared" si="94"/>
        <v>5.569062148913506E-05</v>
      </c>
      <c r="J416" s="2">
        <f t="shared" si="87"/>
        <v>1220.7418090519864</v>
      </c>
      <c r="K416" s="2">
        <f t="shared" si="88"/>
        <v>3.2581909480136027</v>
      </c>
      <c r="L416" s="10">
        <f>_XLL.RISKOUTPUT(,"Contaminated food contact surfaces during a shift",413)+K416/(J416+K416)</f>
        <v>0.00266192070916144</v>
      </c>
      <c r="M416" s="2">
        <f>IF(J416&lt;1,0,_XLL.RISKBINOMIAL(ROUND(J416,0),N416))</f>
        <v>0</v>
      </c>
      <c r="N416" s="11">
        <f t="shared" si="95"/>
        <v>1.3308466217609727E-05</v>
      </c>
      <c r="O416" s="2">
        <f t="shared" si="96"/>
        <v>68</v>
      </c>
      <c r="P416" s="2">
        <f t="shared" si="97"/>
        <v>0</v>
      </c>
      <c r="Q416" s="10">
        <f>_XLL.RISKOUTPUT(,"Contaminated gloves during a shift",413)+P416/(O416+P416)</f>
        <v>0</v>
      </c>
      <c r="R416" s="2">
        <f>IF(O416&lt;1,0,_XLL.RISKBINOMIAL(ROUND(O416,0),S416))</f>
        <v>0</v>
      </c>
      <c r="S416" s="11">
        <f t="shared" si="89"/>
        <v>0.0002337817386286467</v>
      </c>
      <c r="U416" s="2">
        <f t="shared" si="84"/>
        <v>102</v>
      </c>
      <c r="V416" s="2">
        <f t="shared" si="85"/>
        <v>1224</v>
      </c>
      <c r="W416" s="2">
        <f t="shared" si="86"/>
        <v>68</v>
      </c>
    </row>
    <row r="417" spans="1:23" ht="12.75">
      <c r="A417">
        <v>1</v>
      </c>
      <c r="B417">
        <v>413</v>
      </c>
      <c r="C417" s="2">
        <f t="shared" si="90"/>
        <v>100.61538461538461</v>
      </c>
      <c r="D417" s="2">
        <f t="shared" si="91"/>
        <v>1.3846153846153846</v>
      </c>
      <c r="E417" s="2">
        <f t="shared" si="92"/>
        <v>10.061538461538461</v>
      </c>
      <c r="F417" s="2">
        <f t="shared" si="93"/>
        <v>0.13846153846153847</v>
      </c>
      <c r="G417" s="9">
        <f>_XLL.RISKOUTPUT(,"Contaminated food products during a shift",414)+D417/(C417+D417)</f>
        <v>0.013574660633484163</v>
      </c>
      <c r="H417" s="2">
        <f>IF(C417&lt;1,0,_XLL.RISKBINOMIAL(ROUND(C417,0),I417))</f>
        <v>0</v>
      </c>
      <c r="I417" s="8">
        <f t="shared" si="94"/>
        <v>5.569062148913506E-05</v>
      </c>
      <c r="J417" s="2">
        <f t="shared" si="87"/>
        <v>1220.7418090519864</v>
      </c>
      <c r="K417" s="2">
        <f t="shared" si="88"/>
        <v>3.2581909480136027</v>
      </c>
      <c r="L417" s="10">
        <f>_XLL.RISKOUTPUT(,"Contaminated food contact surfaces during a shift",414)+K417/(J417+K417)</f>
        <v>0.00266192070916144</v>
      </c>
      <c r="M417" s="2">
        <f>IF(J417&lt;1,0,_XLL.RISKBINOMIAL(ROUND(J417,0),N417))</f>
        <v>0</v>
      </c>
      <c r="N417" s="11">
        <f t="shared" si="95"/>
        <v>1.3308466217609727E-05</v>
      </c>
      <c r="O417" s="2">
        <f t="shared" si="96"/>
        <v>68</v>
      </c>
      <c r="P417" s="2">
        <f t="shared" si="97"/>
        <v>0</v>
      </c>
      <c r="Q417" s="10">
        <f>_XLL.RISKOUTPUT(,"Contaminated gloves during a shift",414)+P417/(O417+P417)</f>
        <v>0</v>
      </c>
      <c r="R417" s="2">
        <f>IF(O417&lt;1,0,_XLL.RISKBINOMIAL(ROUND(O417,0),S417))</f>
        <v>0</v>
      </c>
      <c r="S417" s="11">
        <f t="shared" si="89"/>
        <v>0.0002337817386286467</v>
      </c>
      <c r="U417" s="2">
        <f t="shared" si="84"/>
        <v>102</v>
      </c>
      <c r="V417" s="2">
        <f t="shared" si="85"/>
        <v>1224</v>
      </c>
      <c r="W417" s="2">
        <f t="shared" si="86"/>
        <v>68</v>
      </c>
    </row>
    <row r="418" spans="1:23" ht="12.75">
      <c r="A418">
        <v>1</v>
      </c>
      <c r="B418">
        <v>414</v>
      </c>
      <c r="C418" s="2">
        <f t="shared" si="90"/>
        <v>100.61538461538461</v>
      </c>
      <c r="D418" s="2">
        <f t="shared" si="91"/>
        <v>1.3846153846153846</v>
      </c>
      <c r="E418" s="2">
        <f t="shared" si="92"/>
        <v>10.061538461538461</v>
      </c>
      <c r="F418" s="2">
        <f t="shared" si="93"/>
        <v>0.13846153846153847</v>
      </c>
      <c r="G418" s="9">
        <f>_XLL.RISKOUTPUT(,"Contaminated food products during a shift",415)+D418/(C418+D418)</f>
        <v>0.013574660633484163</v>
      </c>
      <c r="H418" s="2">
        <f>IF(C418&lt;1,0,_XLL.RISKBINOMIAL(ROUND(C418,0),I418))</f>
        <v>0</v>
      </c>
      <c r="I418" s="8">
        <f t="shared" si="94"/>
        <v>5.569062148913506E-05</v>
      </c>
      <c r="J418" s="2">
        <f t="shared" si="87"/>
        <v>1220.7418090519864</v>
      </c>
      <c r="K418" s="2">
        <f t="shared" si="88"/>
        <v>3.2581909480136027</v>
      </c>
      <c r="L418" s="10">
        <f>_XLL.RISKOUTPUT(,"Contaminated food contact surfaces during a shift",415)+K418/(J418+K418)</f>
        <v>0.00266192070916144</v>
      </c>
      <c r="M418" s="2">
        <f>IF(J418&lt;1,0,_XLL.RISKBINOMIAL(ROUND(J418,0),N418))</f>
        <v>0</v>
      </c>
      <c r="N418" s="11">
        <f t="shared" si="95"/>
        <v>1.3308466217609727E-05</v>
      </c>
      <c r="O418" s="2">
        <f t="shared" si="96"/>
        <v>68</v>
      </c>
      <c r="P418" s="2">
        <f t="shared" si="97"/>
        <v>0</v>
      </c>
      <c r="Q418" s="10">
        <f>_XLL.RISKOUTPUT(,"Contaminated gloves during a shift",415)+P418/(O418+P418)</f>
        <v>0</v>
      </c>
      <c r="R418" s="2">
        <f>IF(O418&lt;1,0,_XLL.RISKBINOMIAL(ROUND(O418,0),S418))</f>
        <v>0</v>
      </c>
      <c r="S418" s="11">
        <f t="shared" si="89"/>
        <v>0.0002337817386286467</v>
      </c>
      <c r="U418" s="2">
        <f t="shared" si="84"/>
        <v>102</v>
      </c>
      <c r="V418" s="2">
        <f t="shared" si="85"/>
        <v>1224</v>
      </c>
      <c r="W418" s="2">
        <f t="shared" si="86"/>
        <v>68</v>
      </c>
    </row>
    <row r="419" spans="1:23" ht="12.75">
      <c r="A419">
        <v>1</v>
      </c>
      <c r="B419">
        <v>415</v>
      </c>
      <c r="C419" s="2">
        <f t="shared" si="90"/>
        <v>100.61538461538461</v>
      </c>
      <c r="D419" s="2">
        <f t="shared" si="91"/>
        <v>1.3846153846153846</v>
      </c>
      <c r="E419" s="2">
        <f t="shared" si="92"/>
        <v>10.061538461538461</v>
      </c>
      <c r="F419" s="2">
        <f t="shared" si="93"/>
        <v>0.13846153846153847</v>
      </c>
      <c r="G419" s="9">
        <f>_XLL.RISKOUTPUT(,"Contaminated food products during a shift",416)+D419/(C419+D419)</f>
        <v>0.013574660633484163</v>
      </c>
      <c r="H419" s="2">
        <f>IF(C419&lt;1,0,_XLL.RISKBINOMIAL(ROUND(C419,0),I419))</f>
        <v>0</v>
      </c>
      <c r="I419" s="8">
        <f t="shared" si="94"/>
        <v>5.569062148913506E-05</v>
      </c>
      <c r="J419" s="2">
        <f t="shared" si="87"/>
        <v>1220.7418090519864</v>
      </c>
      <c r="K419" s="2">
        <f t="shared" si="88"/>
        <v>3.2581909480136027</v>
      </c>
      <c r="L419" s="10">
        <f>_XLL.RISKOUTPUT(,"Contaminated food contact surfaces during a shift",416)+K419/(J419+K419)</f>
        <v>0.00266192070916144</v>
      </c>
      <c r="M419" s="2">
        <f>IF(J419&lt;1,0,_XLL.RISKBINOMIAL(ROUND(J419,0),N419))</f>
        <v>0</v>
      </c>
      <c r="N419" s="11">
        <f t="shared" si="95"/>
        <v>1.3308466217609727E-05</v>
      </c>
      <c r="O419" s="2">
        <f t="shared" si="96"/>
        <v>68</v>
      </c>
      <c r="P419" s="2">
        <f t="shared" si="97"/>
        <v>0</v>
      </c>
      <c r="Q419" s="10">
        <f>_XLL.RISKOUTPUT(,"Contaminated gloves during a shift",416)+P419/(O419+P419)</f>
        <v>0</v>
      </c>
      <c r="R419" s="2">
        <f>IF(O419&lt;1,0,_XLL.RISKBINOMIAL(ROUND(O419,0),S419))</f>
        <v>0</v>
      </c>
      <c r="S419" s="11">
        <f t="shared" si="89"/>
        <v>0.0002337817386286467</v>
      </c>
      <c r="U419" s="2">
        <f t="shared" si="84"/>
        <v>102</v>
      </c>
      <c r="V419" s="2">
        <f t="shared" si="85"/>
        <v>1224</v>
      </c>
      <c r="W419" s="2">
        <f t="shared" si="86"/>
        <v>68</v>
      </c>
    </row>
    <row r="420" spans="1:23" ht="12.75">
      <c r="A420">
        <v>1</v>
      </c>
      <c r="B420">
        <v>416</v>
      </c>
      <c r="C420" s="2">
        <f t="shared" si="90"/>
        <v>100.61538461538461</v>
      </c>
      <c r="D420" s="2">
        <f t="shared" si="91"/>
        <v>1.3846153846153846</v>
      </c>
      <c r="E420" s="2">
        <f t="shared" si="92"/>
        <v>10.061538461538461</v>
      </c>
      <c r="F420" s="2">
        <f t="shared" si="93"/>
        <v>0.13846153846153847</v>
      </c>
      <c r="G420" s="9">
        <f>_XLL.RISKOUTPUT(,"Contaminated food products during a shift",417)+D420/(C420+D420)</f>
        <v>0.013574660633484163</v>
      </c>
      <c r="H420" s="2">
        <f>IF(C420&lt;1,0,_XLL.RISKBINOMIAL(ROUND(C420,0),I420))</f>
        <v>0</v>
      </c>
      <c r="I420" s="8">
        <f t="shared" si="94"/>
        <v>5.569062148913506E-05</v>
      </c>
      <c r="J420" s="2">
        <f t="shared" si="87"/>
        <v>1220.7418090519864</v>
      </c>
      <c r="K420" s="2">
        <f t="shared" si="88"/>
        <v>3.2581909480136027</v>
      </c>
      <c r="L420" s="10">
        <f>_XLL.RISKOUTPUT(,"Contaminated food contact surfaces during a shift",417)+K420/(J420+K420)</f>
        <v>0.00266192070916144</v>
      </c>
      <c r="M420" s="2">
        <f>IF(J420&lt;1,0,_XLL.RISKBINOMIAL(ROUND(J420,0),N420))</f>
        <v>0</v>
      </c>
      <c r="N420" s="11">
        <f t="shared" si="95"/>
        <v>1.3308466217609727E-05</v>
      </c>
      <c r="O420" s="2">
        <f t="shared" si="96"/>
        <v>68</v>
      </c>
      <c r="P420" s="2">
        <f t="shared" si="97"/>
        <v>0</v>
      </c>
      <c r="Q420" s="10">
        <f>_XLL.RISKOUTPUT(,"Contaminated gloves during a shift",417)+P420/(O420+P420)</f>
        <v>0</v>
      </c>
      <c r="R420" s="2">
        <f>IF(O420&lt;1,0,_XLL.RISKBINOMIAL(ROUND(O420,0),S420))</f>
        <v>0</v>
      </c>
      <c r="S420" s="11">
        <f t="shared" si="89"/>
        <v>0.0002337817386286467</v>
      </c>
      <c r="U420" s="2">
        <f t="shared" si="84"/>
        <v>102</v>
      </c>
      <c r="V420" s="2">
        <f t="shared" si="85"/>
        <v>1224</v>
      </c>
      <c r="W420" s="2">
        <f t="shared" si="86"/>
        <v>68</v>
      </c>
    </row>
    <row r="421" spans="1:23" ht="12.75">
      <c r="A421">
        <v>1</v>
      </c>
      <c r="B421">
        <v>417</v>
      </c>
      <c r="C421" s="2">
        <f t="shared" si="90"/>
        <v>100.61538461538461</v>
      </c>
      <c r="D421" s="2">
        <f t="shared" si="91"/>
        <v>1.3846153846153846</v>
      </c>
      <c r="E421" s="2">
        <f t="shared" si="92"/>
        <v>10.061538461538461</v>
      </c>
      <c r="F421" s="2">
        <f t="shared" si="93"/>
        <v>0.13846153846153847</v>
      </c>
      <c r="G421" s="9">
        <f>_XLL.RISKOUTPUT(,"Contaminated food products during a shift",418)+D421/(C421+D421)</f>
        <v>0.013574660633484163</v>
      </c>
      <c r="H421" s="2">
        <f>IF(C421&lt;1,0,_XLL.RISKBINOMIAL(ROUND(C421,0),I421))</f>
        <v>0</v>
      </c>
      <c r="I421" s="8">
        <f t="shared" si="94"/>
        <v>5.569062148913506E-05</v>
      </c>
      <c r="J421" s="2">
        <f t="shared" si="87"/>
        <v>1220.7418090519864</v>
      </c>
      <c r="K421" s="2">
        <f t="shared" si="88"/>
        <v>3.2581909480136027</v>
      </c>
      <c r="L421" s="10">
        <f>_XLL.RISKOUTPUT(,"Contaminated food contact surfaces during a shift",418)+K421/(J421+K421)</f>
        <v>0.00266192070916144</v>
      </c>
      <c r="M421" s="2">
        <f>IF(J421&lt;1,0,_XLL.RISKBINOMIAL(ROUND(J421,0),N421))</f>
        <v>0</v>
      </c>
      <c r="N421" s="11">
        <f t="shared" si="95"/>
        <v>1.3308466217609727E-05</v>
      </c>
      <c r="O421" s="2">
        <f t="shared" si="96"/>
        <v>68</v>
      </c>
      <c r="P421" s="2">
        <f t="shared" si="97"/>
        <v>0</v>
      </c>
      <c r="Q421" s="10">
        <f>_XLL.RISKOUTPUT(,"Contaminated gloves during a shift",418)+P421/(O421+P421)</f>
        <v>0</v>
      </c>
      <c r="R421" s="2">
        <f>IF(O421&lt;1,0,_XLL.RISKBINOMIAL(ROUND(O421,0),S421))</f>
        <v>0</v>
      </c>
      <c r="S421" s="11">
        <f t="shared" si="89"/>
        <v>0.0002337817386286467</v>
      </c>
      <c r="U421" s="2">
        <f t="shared" si="84"/>
        <v>102</v>
      </c>
      <c r="V421" s="2">
        <f t="shared" si="85"/>
        <v>1224</v>
      </c>
      <c r="W421" s="2">
        <f t="shared" si="86"/>
        <v>68</v>
      </c>
    </row>
    <row r="422" spans="1:23" ht="12.75">
      <c r="A422">
        <v>1</v>
      </c>
      <c r="B422">
        <v>418</v>
      </c>
      <c r="C422" s="2">
        <f t="shared" si="90"/>
        <v>100.61538461538461</v>
      </c>
      <c r="D422" s="2">
        <f t="shared" si="91"/>
        <v>1.3846153846153846</v>
      </c>
      <c r="E422" s="2">
        <f t="shared" si="92"/>
        <v>10.061538461538461</v>
      </c>
      <c r="F422" s="2">
        <f t="shared" si="93"/>
        <v>0.13846153846153847</v>
      </c>
      <c r="G422" s="9">
        <f>_XLL.RISKOUTPUT(,"Contaminated food products during a shift",419)+D422/(C422+D422)</f>
        <v>0.013574660633484163</v>
      </c>
      <c r="H422" s="2">
        <f>IF(C422&lt;1,0,_XLL.RISKBINOMIAL(ROUND(C422,0),I422))</f>
        <v>0</v>
      </c>
      <c r="I422" s="8">
        <f t="shared" si="94"/>
        <v>5.569062148913506E-05</v>
      </c>
      <c r="J422" s="2">
        <f t="shared" si="87"/>
        <v>1220.7418090519864</v>
      </c>
      <c r="K422" s="2">
        <f t="shared" si="88"/>
        <v>3.2581909480136027</v>
      </c>
      <c r="L422" s="10">
        <f>_XLL.RISKOUTPUT(,"Contaminated food contact surfaces during a shift",419)+K422/(J422+K422)</f>
        <v>0.00266192070916144</v>
      </c>
      <c r="M422" s="2">
        <f>IF(J422&lt;1,0,_XLL.RISKBINOMIAL(ROUND(J422,0),N422))</f>
        <v>0</v>
      </c>
      <c r="N422" s="11">
        <f t="shared" si="95"/>
        <v>1.3308466217609727E-05</v>
      </c>
      <c r="O422" s="2">
        <f t="shared" si="96"/>
        <v>68</v>
      </c>
      <c r="P422" s="2">
        <f t="shared" si="97"/>
        <v>0</v>
      </c>
      <c r="Q422" s="10">
        <f>_XLL.RISKOUTPUT(,"Contaminated gloves during a shift",419)+P422/(O422+P422)</f>
        <v>0</v>
      </c>
      <c r="R422" s="2">
        <f>IF(O422&lt;1,0,_XLL.RISKBINOMIAL(ROUND(O422,0),S422))</f>
        <v>0</v>
      </c>
      <c r="S422" s="11">
        <f t="shared" si="89"/>
        <v>0.0002337817386286467</v>
      </c>
      <c r="U422" s="2">
        <f t="shared" si="84"/>
        <v>102</v>
      </c>
      <c r="V422" s="2">
        <f t="shared" si="85"/>
        <v>1224</v>
      </c>
      <c r="W422" s="2">
        <f t="shared" si="86"/>
        <v>68</v>
      </c>
    </row>
    <row r="423" spans="1:23" ht="12.75">
      <c r="A423">
        <v>1</v>
      </c>
      <c r="B423">
        <v>419</v>
      </c>
      <c r="C423" s="2">
        <f t="shared" si="90"/>
        <v>100.61538461538461</v>
      </c>
      <c r="D423" s="2">
        <f t="shared" si="91"/>
        <v>1.3846153846153846</v>
      </c>
      <c r="E423" s="2">
        <f t="shared" si="92"/>
        <v>10.061538461538461</v>
      </c>
      <c r="F423" s="2">
        <f t="shared" si="93"/>
        <v>0.13846153846153847</v>
      </c>
      <c r="G423" s="9">
        <f>_XLL.RISKOUTPUT(,"Contaminated food products during a shift",420)+D423/(C423+D423)</f>
        <v>0.013574660633484163</v>
      </c>
      <c r="H423" s="2">
        <f>IF(C423&lt;1,0,_XLL.RISKBINOMIAL(ROUND(C423,0),I423))</f>
        <v>0</v>
      </c>
      <c r="I423" s="8">
        <f t="shared" si="94"/>
        <v>5.569062148913506E-05</v>
      </c>
      <c r="J423" s="2">
        <f t="shared" si="87"/>
        <v>1220.7418090519864</v>
      </c>
      <c r="K423" s="2">
        <f t="shared" si="88"/>
        <v>3.2581909480136027</v>
      </c>
      <c r="L423" s="10">
        <f>_XLL.RISKOUTPUT(,"Contaminated food contact surfaces during a shift",420)+K423/(J423+K423)</f>
        <v>0.00266192070916144</v>
      </c>
      <c r="M423" s="2">
        <f>IF(J423&lt;1,0,_XLL.RISKBINOMIAL(ROUND(J423,0),N423))</f>
        <v>0</v>
      </c>
      <c r="N423" s="11">
        <f t="shared" si="95"/>
        <v>1.3308466217609727E-05</v>
      </c>
      <c r="O423" s="2">
        <f t="shared" si="96"/>
        <v>68</v>
      </c>
      <c r="P423" s="2">
        <f t="shared" si="97"/>
        <v>0</v>
      </c>
      <c r="Q423" s="10">
        <f>_XLL.RISKOUTPUT(,"Contaminated gloves during a shift",420)+P423/(O423+P423)</f>
        <v>0</v>
      </c>
      <c r="R423" s="2">
        <f>IF(O423&lt;1,0,_XLL.RISKBINOMIAL(ROUND(O423,0),S423))</f>
        <v>0</v>
      </c>
      <c r="S423" s="11">
        <f t="shared" si="89"/>
        <v>0.0002337817386286467</v>
      </c>
      <c r="U423" s="2">
        <f t="shared" si="84"/>
        <v>102</v>
      </c>
      <c r="V423" s="2">
        <f t="shared" si="85"/>
        <v>1224</v>
      </c>
      <c r="W423" s="2">
        <f t="shared" si="86"/>
        <v>68</v>
      </c>
    </row>
    <row r="424" spans="1:23" ht="12.75">
      <c r="A424">
        <v>1</v>
      </c>
      <c r="B424">
        <v>420</v>
      </c>
      <c r="C424" s="2">
        <f t="shared" si="90"/>
        <v>100.61538461538461</v>
      </c>
      <c r="D424" s="2">
        <f t="shared" si="91"/>
        <v>1.3846153846153846</v>
      </c>
      <c r="E424" s="2">
        <f t="shared" si="92"/>
        <v>10.061538461538461</v>
      </c>
      <c r="F424" s="2">
        <f t="shared" si="93"/>
        <v>0.13846153846153847</v>
      </c>
      <c r="G424" s="9">
        <f>_XLL.RISKOUTPUT(,"Contaminated food products during a shift",421)+D424/(C424+D424)</f>
        <v>0.013574660633484163</v>
      </c>
      <c r="H424" s="2">
        <f>IF(C424&lt;1,0,_XLL.RISKBINOMIAL(ROUND(C424,0),I424))</f>
        <v>0</v>
      </c>
      <c r="I424" s="8">
        <f t="shared" si="94"/>
        <v>5.569062148913506E-05</v>
      </c>
      <c r="J424" s="2">
        <f t="shared" si="87"/>
        <v>1220.7418090519864</v>
      </c>
      <c r="K424" s="2">
        <f t="shared" si="88"/>
        <v>3.2581909480136027</v>
      </c>
      <c r="L424" s="10">
        <f>_XLL.RISKOUTPUT(,"Contaminated food contact surfaces during a shift",421)+K424/(J424+K424)</f>
        <v>0.00266192070916144</v>
      </c>
      <c r="M424" s="2">
        <f>IF(J424&lt;1,0,_XLL.RISKBINOMIAL(ROUND(J424,0),N424))</f>
        <v>0</v>
      </c>
      <c r="N424" s="11">
        <f t="shared" si="95"/>
        <v>1.3308466217609727E-05</v>
      </c>
      <c r="O424" s="2">
        <f t="shared" si="96"/>
        <v>68</v>
      </c>
      <c r="P424" s="2">
        <f t="shared" si="97"/>
        <v>0</v>
      </c>
      <c r="Q424" s="10">
        <f>_XLL.RISKOUTPUT(,"Contaminated gloves during a shift",421)+P424/(O424+P424)</f>
        <v>0</v>
      </c>
      <c r="R424" s="2">
        <f>IF(O424&lt;1,0,_XLL.RISKBINOMIAL(ROUND(O424,0),S424))</f>
        <v>0</v>
      </c>
      <c r="S424" s="11">
        <f t="shared" si="89"/>
        <v>0.0002337817386286467</v>
      </c>
      <c r="U424" s="2">
        <f t="shared" si="84"/>
        <v>102</v>
      </c>
      <c r="V424" s="2">
        <f t="shared" si="85"/>
        <v>1224</v>
      </c>
      <c r="W424" s="2">
        <f t="shared" si="86"/>
        <v>68</v>
      </c>
    </row>
  </sheetData>
  <mergeCells count="1">
    <mergeCell ref="U2:W2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Epidemiology - 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Ivanek</dc:creator>
  <cp:keywords/>
  <dc:description/>
  <cp:lastModifiedBy>Renata Ivanek</cp:lastModifiedBy>
  <cp:lastPrinted>2004-07-24T18:48:42Z</cp:lastPrinted>
  <dcterms:created xsi:type="dcterms:W3CDTF">2003-09-20T21:01:19Z</dcterms:created>
  <dcterms:modified xsi:type="dcterms:W3CDTF">2004-07-26T19:59:25Z</dcterms:modified>
  <cp:category/>
  <cp:version/>
  <cp:contentType/>
  <cp:contentStatus/>
</cp:coreProperties>
</file>